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Introduction" sheetId="1" r:id="rId4"/>
    <sheet state="hidden" name="Definitions and Nomenclature" sheetId="2" r:id="rId5"/>
    <sheet state="hidden" name="Bearing Strength Assessment" sheetId="3" r:id="rId6"/>
    <sheet state="visible" name="Sheet 1" sheetId="4" r:id="rId7"/>
  </sheets>
  <externalReferences>
    <externalReference r:id="rId8"/>
    <externalReference r:id="rId9"/>
  </externalReferences>
  <definedNames>
    <definedName name="B1_b">[1]Beams!$C$67</definedName>
    <definedName name="B1_h">[1]Beams!$C$68</definedName>
    <definedName name="B1_Le">[1]Beams!$C$71</definedName>
    <definedName name="B1_Lu">[1]Beams!$C$70</definedName>
    <definedName name="B1_T">[1]Beams!$C$73</definedName>
    <definedName name="B1_ω">[1]Beams!$C$74</definedName>
    <definedName localSheetId="0" name="Ce">'Design Criteria (2)'!#REF!</definedName>
    <definedName localSheetId="0" name="Cs">'Design Criteria (2)'!#REF!</definedName>
    <definedName localSheetId="0" name="Ct">'Design Criteria (2)'!#REF!</definedName>
    <definedName name="D_MainFloor">[1]Loads!$D$175</definedName>
    <definedName name="D_Roof">[1]Loads!$D$173</definedName>
    <definedName name="D_UpperFloor">[1]Loads!$D$174</definedName>
    <definedName name="E">[1]Loads!$D$197</definedName>
    <definedName name="F">[1]Loads!$D$189</definedName>
    <definedName name="H">[1]Loads!$D$193</definedName>
    <definedName localSheetId="0" name="I">'Design Criteria (2)'!#REF!</definedName>
    <definedName name="Joist_1">'[2]Floor Joists'!$F$36</definedName>
    <definedName localSheetId="0" name="Kd">'Design Criteria (2)'!#REF!</definedName>
    <definedName localSheetId="0" name="Ke">'Design Criteria (2)'!#REF!</definedName>
    <definedName localSheetId="0" name="Kzt">'Design Criteria (2)'!#REF!</definedName>
    <definedName name="LL_Floor">[1]Loads!$D$191</definedName>
    <definedName name="Lr">[1]Loads!$D$192</definedName>
    <definedName name="MaxFacL_Roof">[1]Loads!$D$208</definedName>
    <definedName localSheetId="0" name="Pd">'Design Criteria (2)'!#REF!</definedName>
    <definedName localSheetId="0" name="Pf">'Design Criteria (2)'!#REF!</definedName>
    <definedName localSheetId="0" name="Pg">'Design Criteria (2)'!#REF!</definedName>
    <definedName localSheetId="0" name="Ps">'Design Criteria (2)'!#REF!</definedName>
    <definedName name="S">[1]Loads!$D$194</definedName>
    <definedName name="T">[1]Loads!$D$190</definedName>
    <definedName localSheetId="0" name="V">'Design Criteria (2)'!#REF!</definedName>
    <definedName localSheetId="0" name="VUlt">'Design Criteria (2)'!#REF!</definedName>
    <definedName name="WideFlange_E">[1]Beams!$D$59</definedName>
    <definedName name="WL_Roof">[1]Loads!$D$196</definedName>
    <definedName name="Snow_Load">'Sheet 1'!$C$162</definedName>
    <definedName name="Ps">#REF!</definedName>
    <definedName name="I">#REF!</definedName>
    <definedName localSheetId="0" name="OLE_LINK1">#REF!</definedName>
    <definedName name="Ct">#REF!</definedName>
    <definedName name="VUlt">#REF!</definedName>
    <definedName name="Pg">#REF!</definedName>
    <definedName name="Cs">#REF!</definedName>
    <definedName name="Kzt">#REF!</definedName>
    <definedName name="Ke">#REF!</definedName>
    <definedName name="Ce">#REF!</definedName>
    <definedName name="Barn_Width">'Sheet 1'!$C$160</definedName>
    <definedName name="Kd">#REF!</definedName>
    <definedName name="Post_Spacing">'Sheet 1'!$C$161</definedName>
    <definedName name="Pd">#REF!</definedName>
    <definedName name="V">#REF!</definedName>
    <definedName name="Pf">#REF!</definedName>
  </definedNames>
  <calcPr/>
  <extLst>
    <ext uri="GoogleSheetsCustomDataVersion1">
      <go:sheetsCustomData xmlns:go="http://customooxmlschemas.google.com/" r:id="rId10" roundtripDataSignature="AMtx7mhzyT3vqk16JXgOD5nQCgdNNBdCgQ=="/>
    </ext>
  </extLst>
</workbook>
</file>

<file path=xl/sharedStrings.xml><?xml version="1.0" encoding="utf-8"?>
<sst xmlns="http://schemas.openxmlformats.org/spreadsheetml/2006/main" count="1457" uniqueCount="1057">
  <si>
    <t>This Workbook</t>
  </si>
  <si>
    <t xml:space="preserve">This workbook facilitates the application of major portions of the third revision to ASABE's engineering practice (EP) for the design of shallow post and pier foundations.  The third revision is designated as ASAE EP486.3 and was released in September, 2017.  ASAE EP486.3 is designated by ANSI as an American National Standard. </t>
  </si>
  <si>
    <t>Workbook Cell Color Identifiers</t>
  </si>
  <si>
    <t>The cell colors in this workbook denote the type of content in the cells. For example, any cell that is yellow is an unlocked cell that requires an input value from the user.</t>
  </si>
  <si>
    <t>Worksheet Cell Color</t>
  </si>
  <si>
    <t>Worksheet Cell Content</t>
  </si>
  <si>
    <t>Blue</t>
  </si>
  <si>
    <t>Column Headings</t>
  </si>
  <si>
    <t>Green</t>
  </si>
  <si>
    <t>Units</t>
  </si>
  <si>
    <t>Yellow</t>
  </si>
  <si>
    <t>Input Values</t>
  </si>
  <si>
    <t>Orange</t>
  </si>
  <si>
    <t>Calculated Values</t>
  </si>
  <si>
    <t>Red</t>
  </si>
  <si>
    <t>Alerts</t>
  </si>
  <si>
    <t>White</t>
  </si>
  <si>
    <t>Fixed Values and Basic Information</t>
  </si>
  <si>
    <t>Purpose of ASAE EP486.3</t>
  </si>
  <si>
    <t>ASAE EP486.3 contains procedures for determining the adequacy of shallow, isolated post and pier foundations in resisting applied structural loads. The EP helps ensure that soil and backfill are not overloaded, foundation elements have adequate strength, frost heave is minimized, and lateral movements are not excessive.</t>
  </si>
  <si>
    <t>Scope of ASAE EP486.3</t>
  </si>
  <si>
    <t>ASAE EP486.3  contains safety factors and other provisions for allowable stress design (ASD) which is also known as working stress design, and for load and resistance factor design (LRFD) which is also known as strength design. It also contains properties and procedures for modeling soil deformation for use in structural building frame analyses.</t>
  </si>
  <si>
    <t>Limitations of ASAE EP486.3</t>
  </si>
  <si>
    <t>Application of ASAE EP 486.3 (and hence this workbook) is limited to post and pier foundations that: (1) are vertically installed in relatively level terrain, (2) feature concentrically-loaded footings, and (3) have a minimum post or pier foundation spacing equal to the greater of 4.5 times the maximum dimension of the post/pier cross section. or three times the maximum dimension of a footing or attached collar.</t>
  </si>
  <si>
    <t>Contents of ASAE EP486.3</t>
  </si>
  <si>
    <t>Clause</t>
  </si>
  <si>
    <t>Clause Title</t>
  </si>
  <si>
    <t>Content Description</t>
  </si>
  <si>
    <t>Purpose and scope</t>
  </si>
  <si>
    <t>Use/limitations of the EP486</t>
  </si>
  <si>
    <t>Normative references</t>
  </si>
  <si>
    <t>Referenced documents (e.g. ASTM Standards) needed for application of various portions of the EP486</t>
  </si>
  <si>
    <t>Definitions</t>
  </si>
  <si>
    <t>Definitions covering foundation types and components, foundation geometry and constraints, material properties and characteristics, and structural loads and analysis</t>
  </si>
  <si>
    <t>Nomenclature (Symbols)</t>
  </si>
  <si>
    <t>Abbreviations; symbols for variables and constants</t>
  </si>
  <si>
    <t>Soil and backfill properties</t>
  </si>
  <si>
    <r>
      <rPr>
        <rFont val="Arial"/>
        <color theme="1"/>
        <sz val="10.0"/>
      </rPr>
      <t>Soils that should be avoided during post</t>
    </r>
    <r>
      <rPr>
        <rFont val="Arial"/>
        <i/>
        <color theme="1"/>
        <sz val="10.0"/>
      </rPr>
      <t>/</t>
    </r>
    <r>
      <rPr>
        <rFont val="Arial"/>
        <color theme="1"/>
        <sz val="10.0"/>
      </rPr>
      <t>pier construction; appropriate backfill materials; establishment of Young’s modulus, undrained shear strength, and friction angle of soils from laboratory and in-situ tests; presumptive soil properties</t>
    </r>
  </si>
  <si>
    <t>Foundation material properties</t>
  </si>
  <si>
    <t>Material requirements for post and pier foundation elements</t>
  </si>
  <si>
    <t>Structural load combinations</t>
  </si>
  <si>
    <t>ASCE 7 load combinations for allowable stress design (ASD) and load and resistance factor design (LRFD)</t>
  </si>
  <si>
    <t>Structural analysis</t>
  </si>
  <si>
    <t>Methods for modeling resistance of soil to lateral foundation movement</t>
  </si>
  <si>
    <t>Resistance and safety factors</t>
  </si>
  <si>
    <t>Resistance factors for LRFD design and corresponding safety factors for ASD design</t>
  </si>
  <si>
    <t>Bearing strength assessment</t>
  </si>
  <si>
    <t>Determination of the maximum downward force that can be applied to foundation at groundline without causing a soil failure</t>
  </si>
  <si>
    <t>Lateral strength assessment</t>
  </si>
  <si>
    <t>Determination of the maximum bending moment and shear force combinations that can be applied to foundation at groundline without causing a soil failure</t>
  </si>
  <si>
    <t>Uplift strength assessment</t>
  </si>
  <si>
    <t>Determination of the maximum upward force that can be applied to foundation at groundline without causing a soil failure</t>
  </si>
  <si>
    <t>Frost heave considerations</t>
  </si>
  <si>
    <t>Factors that affect frost heave; options for reducing frost heave</t>
  </si>
  <si>
    <t>Installation requirements</t>
  </si>
  <si>
    <t>Soil compaction requirements; footing and foundation placement tolerances</t>
  </si>
  <si>
    <t>Availability of ASAE EP486.3</t>
  </si>
  <si>
    <t xml:space="preserve">ANSI/ASAE EP486.3 is available from ASABE, St Joseph, MI.  Options for attaining a full-text version in electronic or hard copy are given at http://elibrary.asabe.org/subscribe.asp </t>
  </si>
  <si>
    <t>Contents of This Workbook</t>
  </si>
  <si>
    <t>Worksheet Title</t>
  </si>
  <si>
    <t>Worksheet Description</t>
  </si>
  <si>
    <t>Introduction</t>
  </si>
  <si>
    <t>(This page) Material from ASAE EP486.3 Clause 1 plus additional introductory material</t>
  </si>
  <si>
    <t>Definitions and Nomenclature</t>
  </si>
  <si>
    <t>All definitions from ASAE EP486.3 Clause 3, variable descriptions and symbols from ASAE EP486.3 Clause 4, and ASAE EP486.3 figures 1 through 5.</t>
  </si>
  <si>
    <t>Soil Profile</t>
  </si>
  <si>
    <r>
      <rPr>
        <rFont val="Arial"/>
        <color theme="1"/>
        <sz val="10.0"/>
      </rPr>
      <t xml:space="preserve">Calculation of total vertical stress and ultimate lateral resistance for 1.0 inch thick soil layers. Requires input of soil properties for depths from the ground surface to a depth of 1.5 </t>
    </r>
    <r>
      <rPr>
        <rFont val="Arial"/>
        <i/>
        <color theme="1"/>
        <sz val="10.0"/>
      </rPr>
      <t>B</t>
    </r>
    <r>
      <rPr>
        <rFont val="Arial"/>
        <color theme="1"/>
        <sz val="10.0"/>
      </rPr>
      <t xml:space="preserve"> below the footing where </t>
    </r>
    <r>
      <rPr>
        <rFont val="Arial"/>
        <i/>
        <color theme="1"/>
        <sz val="10.0"/>
      </rPr>
      <t>B</t>
    </r>
    <r>
      <rPr>
        <rFont val="Arial"/>
        <color theme="1"/>
        <sz val="10.0"/>
      </rPr>
      <t xml:space="preserve"> is the footing width. Includes ASAE EP486.3 Table 1 (Presumptive soil properties for post and pier foundation design).</t>
    </r>
  </si>
  <si>
    <t>Bearing Strength Assessment</t>
  </si>
  <si>
    <t>Calculation of bearing strength in accordance with ASAE EP486.3 Clause 10.  Includes ASAE EP486.3 Table 2 (LRFD resistance factors and ASD safety factors for bearing strength assessment).</t>
  </si>
  <si>
    <t>Lateral Strength Assessment - U</t>
  </si>
  <si>
    <t>Calculation of lateral strength in accordance with the Universal Method outlined ASAE EP486.3 Clause 11.  Includes ASAE EP486.3 Table 3 (LRFD resistance factors and ASD safety factors for lateral strength assessment using the Universal Method of analysis).</t>
  </si>
  <si>
    <t>Lateral Strength Assessment - S</t>
  </si>
  <si>
    <t>Calculation of lateral strength in accordance with the Simplified Method outlined ASAE EP486.3 Clause 11.  Includes ASAE EP486.3 Table 4 (LRFD resistance factors and ASD safety factors for lateral strength assessment using the Simplified Method of analysis).</t>
  </si>
  <si>
    <t>Uplift Strength Assessment</t>
  </si>
  <si>
    <t>Calculation of uplift strength in accordance with ASAE EP486.3 Clause 12.  Includes ASAE EP486.3 Table 5 (LRFD resistance factors and ASD safety factors for uplift strength assessment) and a foundation mass estimator.</t>
  </si>
  <si>
    <t>Workbook Limitations</t>
  </si>
  <si>
    <t>A comparison of the contents of this workbook with the contents of ASAE EP486.3 reveals that this workbook does not address ASAE EP 486.3 Clauses 5, 6, 7, 8 13 and 14.  The omitted content includes all load calaculations and methods for predicting the lateral displacement of a foundation due to applied loads.</t>
  </si>
  <si>
    <t>Workbook User Manual</t>
  </si>
  <si>
    <r>
      <rPr>
        <rFont val="Arial"/>
        <color theme="1"/>
        <sz val="10.0"/>
      </rPr>
      <t xml:space="preserve">ASABE Paper Number 1700665 titled </t>
    </r>
    <r>
      <rPr>
        <rFont val="Arial"/>
        <i/>
        <color theme="1"/>
        <sz val="10.0"/>
      </rPr>
      <t>Post and Pier Foundation Design Aid</t>
    </r>
    <r>
      <rPr>
        <rFont val="Arial"/>
        <color theme="1"/>
        <sz val="10.0"/>
      </rPr>
      <t xml:space="preserve"> (DOI: 10.13031/aim.201700665) serves as a defacto user manual for this workbook.  It contains background information to help guide uers.  This includes a demonstration of the USDA NRCS Web Soil Survey (WSS) site to obtain soil profile information. 
</t>
    </r>
  </si>
  <si>
    <t>Definitions: Foundation Types and Components</t>
  </si>
  <si>
    <t>backfill</t>
  </si>
  <si>
    <t>Material filling the excavation around a post or pier foundation. See Figure 5.</t>
  </si>
  <si>
    <t>collar</t>
  </si>
  <si>
    <t>Foundation component attached to a post or pier, and that moves with it to resist lateral and vertical loads. See Figure 5.</t>
  </si>
  <si>
    <t>driven pier or post</t>
  </si>
  <si>
    <t>A pier or post that is pounded or turned into the ground. A pier or post foundation not requiring prior soil excavation. Also referred to as a displacement pier or post. See Figure 2.</t>
  </si>
  <si>
    <t xml:space="preserve">footing </t>
  </si>
  <si>
    <t>Foundation component at the base of a post or pier that provides resistance to vertical downward forces. When properly attached to the post/pier, a footing aids in the resistance of lateral and vertical uplift forces, and embedment depth is measured to the base of the footing instead of to the top of the footing. See Figures 1 through 5.</t>
  </si>
  <si>
    <t>helical pier</t>
  </si>
  <si>
    <t>A pier comprised of a steel pipe or tubing with an attached helix or helices. See Figure 2. Helices are also known as auger flighting. A helical pier is a type of driven pier that is turned into the soil in a manner that minimizes soil movement/displacement.</t>
  </si>
  <si>
    <t>pedestal</t>
  </si>
  <si>
    <t>A relatively short column that can support vertical forces, but is not designed to transmit horizontal shear, and bending moments. This engineering practice is not applicable to the design of pedestals.</t>
  </si>
  <si>
    <t>pier</t>
  </si>
  <si>
    <t>A relatively short column partly embedded in the soil to provide lateral and vertical support for a building or other structure. Piers include members of any material with assigned structural properties such as solid or laminated wood, steel, or concrete. Piers differ from embedded posts in that they seldom extend above the lowest horizontal framing element in a structure, and when they do, it is often only a few centimeters. See Figures 2 through 4.</t>
  </si>
  <si>
    <t xml:space="preserve">pier foundation </t>
  </si>
  <si>
    <t>An assembly consisting of a pier and all below-grade elements, which may include a footing, uplift resistance system, and collar. See Figure 3.</t>
  </si>
  <si>
    <t xml:space="preserve">pile </t>
  </si>
  <si>
    <t>A relatively long and slender column driven, screwed, jacked, vibrated, drilled or otherwise installed into soil to provide lateral and vertical support for a structure. Generally used to carry loads through weak layers of soil to those capable of supporting such loads. This engineering practice is not applicable to the design of piles.</t>
  </si>
  <si>
    <t>pole</t>
  </si>
  <si>
    <t>A round post.</t>
  </si>
  <si>
    <t>post</t>
  </si>
  <si>
    <t>A structural column that functions as a major foundation element by providing lateral and vertical support for a structure when it is embedded in the soil. Posts include members of any material with assigned structural properties such as solid or laminated wood, steel, or concrete. See Figures 1 and 5.</t>
  </si>
  <si>
    <t xml:space="preserve">post foundation </t>
  </si>
  <si>
    <t>An assembly consisting of an embedded post and all below-grade elements, which may include a footing, uplift resistance system, and collar. See Figure 1.</t>
  </si>
  <si>
    <t xml:space="preserve">screw anchor </t>
  </si>
  <si>
    <t>A helical pier primarily designed to handle uplift or tension forces.</t>
  </si>
  <si>
    <t xml:space="preserve">shallow foundation </t>
  </si>
  <si>
    <r>
      <rPr>
        <rFont val="Arial"/>
        <color theme="1"/>
        <sz val="10.0"/>
      </rPr>
      <t xml:space="preserve">A foundation for which deformation under load is small, so foundation movement approximates rigid body motion. Foundation deformation is kept small by selection of foundation depth, </t>
    </r>
    <r>
      <rPr>
        <rFont val="Arial"/>
        <i/>
        <color theme="1"/>
        <sz val="10.0"/>
      </rPr>
      <t>d</t>
    </r>
    <r>
      <rPr>
        <rFont val="Arial"/>
        <color theme="1"/>
        <sz val="10.0"/>
      </rPr>
      <t xml:space="preserve">, and post/pier bending stiffness, </t>
    </r>
    <r>
      <rPr>
        <rFont val="Arial"/>
        <i/>
        <color theme="1"/>
        <sz val="10.0"/>
      </rPr>
      <t>E</t>
    </r>
    <r>
      <rPr>
        <rFont val="Arial"/>
        <i/>
        <color theme="1"/>
        <sz val="10.0"/>
        <vertAlign val="subscript"/>
      </rPr>
      <t xml:space="preserve">p </t>
    </r>
    <r>
      <rPr>
        <rFont val="Arial"/>
        <i/>
        <color theme="1"/>
        <sz val="10.0"/>
      </rPr>
      <t>I</t>
    </r>
    <r>
      <rPr>
        <rFont val="Arial"/>
        <i/>
        <color theme="1"/>
        <sz val="10.0"/>
        <vertAlign val="subscript"/>
      </rPr>
      <t>p</t>
    </r>
    <r>
      <rPr>
        <rFont val="Arial"/>
        <i/>
        <color theme="1"/>
        <sz val="10.0"/>
      </rPr>
      <t>.</t>
    </r>
  </si>
  <si>
    <t xml:space="preserve">uplift resistance system </t>
  </si>
  <si>
    <t>Elements attached to an embedded post or pier, generally near the base, to increase the uplift resistance of a foundation system. See Figures 1 through 5.</t>
  </si>
  <si>
    <t>Definitions: Foundation Geometry and Constraints</t>
  </si>
  <si>
    <t>constrained post (or pier)</t>
  </si>
  <si>
    <t xml:space="preserve"> A post or pier foundation that is restrained from significant horizontal movement at the ground surface, typically by a concrete slab.</t>
  </si>
  <si>
    <r>
      <rPr>
        <rFont val="Arial"/>
        <b/>
        <color theme="1"/>
        <sz val="10.0"/>
      </rPr>
      <t xml:space="preserve">foundation depth, </t>
    </r>
    <r>
      <rPr>
        <rFont val="Arial"/>
        <b/>
        <i/>
        <color theme="1"/>
        <sz val="10.0"/>
      </rPr>
      <t>d</t>
    </r>
    <r>
      <rPr>
        <rFont val="Arial"/>
        <b/>
        <i/>
        <color theme="1"/>
        <sz val="10.0"/>
        <vertAlign val="subscript"/>
      </rPr>
      <t>F</t>
    </r>
    <r>
      <rPr>
        <rFont val="Arial"/>
        <b/>
        <i/>
        <color theme="1"/>
        <sz val="10.0"/>
      </rPr>
      <t xml:space="preserve"> </t>
    </r>
  </si>
  <si>
    <t>Vertical distance from the ground surface to the bottom of a post or pier foundation. Typically the vertical distance from the ground surface to the base of the footing.</t>
  </si>
  <si>
    <t xml:space="preserve">non-constrained post (or pier) </t>
  </si>
  <si>
    <t>A post or pier foundation that is not restrained from moving horizontally at or above the ground surface.</t>
  </si>
  <si>
    <r>
      <rPr>
        <rFont val="Arial"/>
        <b/>
        <color theme="1"/>
        <sz val="10.0"/>
      </rPr>
      <t xml:space="preserve">post (or pier) embedment depth, </t>
    </r>
    <r>
      <rPr>
        <rFont val="Arial"/>
        <b/>
        <i/>
        <color theme="1"/>
        <sz val="10.0"/>
      </rPr>
      <t>d</t>
    </r>
    <r>
      <rPr>
        <rFont val="Arial"/>
        <b/>
        <color theme="1"/>
        <sz val="10.0"/>
      </rPr>
      <t xml:space="preserve"> </t>
    </r>
  </si>
  <si>
    <r>
      <rPr>
        <rFont val="Arial"/>
        <color theme="1"/>
        <sz val="10.0"/>
      </rPr>
      <t>Vertical distance from the ground surface to the bottom of the embedded post or pier. Includes the thickness of the footing when the footing is rigidly attached to the post/pier or is cast integrally with the post</t>
    </r>
    <r>
      <rPr>
        <rFont val="Arial"/>
        <i/>
        <color theme="1"/>
        <sz val="10.0"/>
      </rPr>
      <t>/</t>
    </r>
    <r>
      <rPr>
        <rFont val="Arial"/>
        <color theme="1"/>
        <sz val="10.0"/>
      </rPr>
      <t>pier.</t>
    </r>
  </si>
  <si>
    <r>
      <rPr>
        <rFont val="Arial"/>
        <b/>
        <color theme="1"/>
        <sz val="10.0"/>
      </rPr>
      <t>post (or pier) width,</t>
    </r>
    <r>
      <rPr>
        <rFont val="Arial"/>
        <b/>
        <i/>
        <color theme="1"/>
        <sz val="10.0"/>
      </rPr>
      <t xml:space="preserve"> B</t>
    </r>
    <r>
      <rPr>
        <rFont val="Arial"/>
        <b/>
        <color theme="1"/>
        <sz val="10.0"/>
      </rPr>
      <t xml:space="preserve"> </t>
    </r>
  </si>
  <si>
    <r>
      <rPr>
        <rFont val="Arial"/>
        <color theme="1"/>
        <sz val="10.0"/>
      </rPr>
      <t>The cross-sectional dimension that is perpendicular to the direction of lateral post/pier movement. This width defines the area of contact between the foundation and soil that resists lateral post</t>
    </r>
    <r>
      <rPr>
        <rFont val="Arial"/>
        <i/>
        <color theme="1"/>
        <sz val="10.0"/>
      </rPr>
      <t>/</t>
    </r>
    <r>
      <rPr>
        <rFont val="Arial"/>
        <color theme="1"/>
        <sz val="10.0"/>
      </rPr>
      <t>pier movement. The width of a round post or pier is its diameter.</t>
    </r>
  </si>
  <si>
    <t>Definitions: Material Properties and Characteristics</t>
  </si>
  <si>
    <r>
      <rPr>
        <rFont val="Arial"/>
        <b/>
        <color theme="1"/>
        <sz val="10.0"/>
      </rPr>
      <t xml:space="preserve">cohesion of soil, </t>
    </r>
    <r>
      <rPr>
        <rFont val="Arial"/>
        <b/>
        <i/>
        <color theme="1"/>
        <sz val="10.0"/>
      </rPr>
      <t xml:space="preserve">c </t>
    </r>
  </si>
  <si>
    <t>Component of soil shear strength due to cementation or bonding at particle contacts resulting from ionic bonds, hydrogen bonds, and gravitational attraction.</t>
  </si>
  <si>
    <t xml:space="preserve">controlled low-strength material (CLSM) </t>
  </si>
  <si>
    <t>A self-leveling and self-compacting, cementitious material with an unconfined compressive strength of 8 MPa (1200 psi) or less. Other terms used to describe controlled low-strength material (CLSM) include flowable fill, unshrinkable fill, controlled density fill, flowable mortar, flowable fly ash, fly ash slurry, plastic soil-cement and soil-cement slurry.</t>
  </si>
  <si>
    <r>
      <rPr>
        <rFont val="Arial"/>
        <b/>
        <color theme="1"/>
        <sz val="10.0"/>
      </rPr>
      <t xml:space="preserve">constant of horizontal subgrade reaction, </t>
    </r>
    <r>
      <rPr>
        <rFont val="Arial"/>
        <b/>
        <i/>
        <color theme="1"/>
        <sz val="10.0"/>
      </rPr>
      <t>n</t>
    </r>
    <r>
      <rPr>
        <rFont val="Arial"/>
        <b/>
        <i/>
        <color theme="1"/>
        <sz val="10.0"/>
        <vertAlign val="subscript"/>
      </rPr>
      <t>h</t>
    </r>
    <r>
      <rPr>
        <rFont val="Arial"/>
        <b/>
        <i/>
        <color theme="1"/>
        <sz val="10.0"/>
      </rPr>
      <t xml:space="preserve"> </t>
    </r>
  </si>
  <si>
    <r>
      <rPr>
        <rFont val="Arial"/>
        <color theme="1"/>
        <sz val="10.0"/>
      </rPr>
      <t xml:space="preserve">Soil property used in the calculation of horizontal soil stiffness. When divided by post/pier width </t>
    </r>
    <r>
      <rPr>
        <rFont val="Arial"/>
        <i/>
        <color theme="1"/>
        <sz val="10.0"/>
      </rPr>
      <t>b</t>
    </r>
    <r>
      <rPr>
        <rFont val="Arial"/>
        <color theme="1"/>
        <sz val="10.0"/>
      </rPr>
      <t>, the constant of horizontal subgrade reaction establishes the rate at which the modulus of horizontal subgrade reaction increases with depth.</t>
    </r>
  </si>
  <si>
    <r>
      <rPr>
        <rFont val="Arial"/>
        <b/>
        <color theme="1"/>
        <sz val="10.0"/>
      </rPr>
      <t xml:space="preserve">dry bulk density of soil, </t>
    </r>
    <r>
      <rPr>
        <rFont val="Arial"/>
        <b/>
        <i/>
        <color theme="1"/>
        <sz val="10.0"/>
      </rPr>
      <t>ρ</t>
    </r>
    <r>
      <rPr>
        <rFont val="Arial"/>
        <b/>
        <i/>
        <color theme="1"/>
        <sz val="10.0"/>
        <vertAlign val="subscript"/>
      </rPr>
      <t>D</t>
    </r>
    <r>
      <rPr>
        <rFont val="Arial"/>
        <b/>
        <color theme="1"/>
        <sz val="10.0"/>
      </rPr>
      <t xml:space="preserve"> </t>
    </r>
  </si>
  <si>
    <t>Oven-dried mass of a soil divided by its in-situ volume. Also known as dry unit weight.</t>
  </si>
  <si>
    <t xml:space="preserve">effective stress </t>
  </si>
  <si>
    <t>Net stress across points of contact of soil particles, generally considered as equivalent to the total stress minus the pore water pressure.</t>
  </si>
  <si>
    <t>frost heave</t>
  </si>
  <si>
    <t>Surface distortion caused by volume expansion within the soil when water freezes and ice lenses form.</t>
  </si>
  <si>
    <r>
      <rPr>
        <rFont val="Arial"/>
        <b/>
        <color theme="1"/>
        <sz val="10.0"/>
      </rPr>
      <t xml:space="preserve">moist bulk density of soil, </t>
    </r>
    <r>
      <rPr>
        <rFont val="Arial"/>
        <b/>
        <i/>
        <color theme="1"/>
        <sz val="10.0"/>
      </rPr>
      <t xml:space="preserve">ρ </t>
    </r>
  </si>
  <si>
    <t>Mass of a soil divided by its in-situ volume. Also known as wet unit weight.</t>
  </si>
  <si>
    <r>
      <rPr>
        <rFont val="Arial"/>
        <b/>
        <color theme="1"/>
        <sz val="10.0"/>
      </rPr>
      <t>Poisson’s ratio,</t>
    </r>
    <r>
      <rPr>
        <rFont val="Arial"/>
        <b/>
        <i/>
        <color theme="1"/>
        <sz val="10.0"/>
      </rPr>
      <t xml:space="preserve"> ν </t>
    </r>
  </si>
  <si>
    <t>Transverse (lateral) strain divided by the corresponding axial (longitudinal) strain that occurs when a uniformly distributed axial load is applied to a soil sample whose transverse expansion is not restricted during load application.</t>
  </si>
  <si>
    <r>
      <rPr>
        <rFont val="Arial"/>
        <b/>
        <color theme="1"/>
        <sz val="10.0"/>
      </rPr>
      <t>soil friction angle,</t>
    </r>
    <r>
      <rPr>
        <rFont val="Arial"/>
        <b/>
        <i/>
        <color theme="1"/>
        <sz val="10.0"/>
      </rPr>
      <t xml:space="preserve"> </t>
    </r>
    <r>
      <rPr>
        <rFont val="Symbol"/>
        <b/>
        <i/>
        <color theme="1"/>
        <sz val="10.0"/>
      </rPr>
      <t>f</t>
    </r>
  </si>
  <si>
    <r>
      <rPr>
        <rFont val="Arial"/>
        <color theme="1"/>
        <sz val="10.0"/>
      </rPr>
      <t xml:space="preserve">Slope angle of Mohr-Coulomb shear strength criterion for soils, where shear strength = </t>
    </r>
    <r>
      <rPr>
        <rFont val="Symbol"/>
        <i/>
        <color theme="1"/>
        <sz val="10.0"/>
      </rPr>
      <t>s</t>
    </r>
    <r>
      <rPr>
        <rFont val="Arial"/>
        <color theme="1"/>
        <sz val="10.0"/>
      </rPr>
      <t xml:space="preserve"> tan </t>
    </r>
    <r>
      <rPr>
        <rFont val="Symbol"/>
        <i/>
        <color theme="1"/>
        <sz val="10.0"/>
      </rPr>
      <t>f</t>
    </r>
    <r>
      <rPr>
        <rFont val="Arial"/>
        <color theme="1"/>
        <sz val="10.0"/>
      </rPr>
      <t xml:space="preserve"> + </t>
    </r>
    <r>
      <rPr>
        <rFont val="Arial"/>
        <i/>
        <color theme="1"/>
        <sz val="10.0"/>
      </rPr>
      <t>c</t>
    </r>
    <r>
      <rPr>
        <rFont val="Arial"/>
        <color theme="1"/>
        <sz val="10.0"/>
      </rPr>
      <t>.</t>
    </r>
  </si>
  <si>
    <t>swelling soil</t>
  </si>
  <si>
    <t xml:space="preserve"> A soil material, particularly clays, that exhibit expansion with increasing moisture content, and shrinkage with decreasing moisture content. Also referred to as an expansive soil.</t>
  </si>
  <si>
    <t xml:space="preserve">total stress: </t>
  </si>
  <si>
    <t>Total pressure exerted in any direction by both soil and water.</t>
  </si>
  <si>
    <r>
      <rPr>
        <rFont val="Arial"/>
        <b/>
        <color theme="1"/>
        <sz val="10.0"/>
      </rPr>
      <t xml:space="preserve">undrained shear strength, </t>
    </r>
    <r>
      <rPr>
        <rFont val="Arial"/>
        <b/>
        <i/>
        <color theme="1"/>
        <sz val="10.0"/>
      </rPr>
      <t>S</t>
    </r>
    <r>
      <rPr>
        <rFont val="Arial"/>
        <b/>
        <i/>
        <color theme="1"/>
        <sz val="10.0"/>
        <vertAlign val="subscript"/>
      </rPr>
      <t>U</t>
    </r>
    <r>
      <rPr>
        <rFont val="Arial"/>
        <b/>
        <i/>
        <color theme="1"/>
        <sz val="10.0"/>
      </rPr>
      <t xml:space="preserve"> </t>
    </r>
  </si>
  <si>
    <t>Shear strength of soil sheared such that pore water pressure is not allowed to dissipate (i.e., undrained condition). Shear strength criterion typically used for short-term loading of soil with significant clay content.</t>
  </si>
  <si>
    <r>
      <rPr>
        <rFont val="Arial"/>
        <b/>
        <color theme="1"/>
        <sz val="10.0"/>
      </rPr>
      <t xml:space="preserve">Young’s modulus for soil, </t>
    </r>
    <r>
      <rPr>
        <rFont val="Arial"/>
        <b/>
        <i/>
        <color theme="1"/>
        <sz val="10.0"/>
      </rPr>
      <t>E</t>
    </r>
    <r>
      <rPr>
        <rFont val="Arial"/>
        <b/>
        <i/>
        <color theme="1"/>
        <sz val="10.0"/>
        <vertAlign val="subscript"/>
      </rPr>
      <t>S</t>
    </r>
    <r>
      <rPr>
        <rFont val="Arial"/>
        <b/>
        <color theme="1"/>
        <sz val="10.0"/>
      </rPr>
      <t xml:space="preserve"> </t>
    </r>
  </si>
  <si>
    <t>Uniaxial compressive stress divided by the corresponding uniaxial strain of a soil sample whose transverse (lateral) expansion is not restricted during load application.</t>
  </si>
  <si>
    <t>Definitions: Structural Loads and Analysis</t>
  </si>
  <si>
    <t xml:space="preserve">allowable stress design </t>
  </si>
  <si>
    <t>A method of proportioning structural members such that elastically computed stresses produced in the members by nominal loads do not exceed specified allowable stresses. Also called “working stress design”.</t>
  </si>
  <si>
    <r>
      <rPr>
        <rFont val="Arial"/>
        <b/>
        <color theme="1"/>
        <sz val="10.0"/>
      </rPr>
      <t xml:space="preserve">bearing pressure, </t>
    </r>
    <r>
      <rPr>
        <rFont val="Arial"/>
        <b/>
        <i/>
        <color theme="1"/>
        <sz val="10.0"/>
      </rPr>
      <t>q</t>
    </r>
  </si>
  <si>
    <t>Pressure applied normal to the base of the foundation by the soil in response to all downward forces acting on the foundation.</t>
  </si>
  <si>
    <r>
      <rPr>
        <rFont val="Arial"/>
        <b/>
        <color theme="1"/>
        <sz val="10.0"/>
      </rPr>
      <t xml:space="preserve">modulus of horizontal subgrade reaction, </t>
    </r>
    <r>
      <rPr>
        <rFont val="Arial"/>
        <b/>
        <i/>
        <color theme="1"/>
        <sz val="10.0"/>
      </rPr>
      <t xml:space="preserve">k </t>
    </r>
  </si>
  <si>
    <t>Ratio of the load per unit area on a vertical soil surface to the corresponding lateral displacement of the surface. Also known as the coefficient of horizontal subgrade reaction. It is a function of soil properties, surface area over which the pressure is applied, depth below grade at which the pressure is applied, and the magnitude of the lateral displacement.</t>
  </si>
  <si>
    <r>
      <rPr>
        <rFont val="Arial"/>
        <b/>
        <color theme="1"/>
        <sz val="10.0"/>
      </rPr>
      <t>modulus of vertical subgrade reaction,</t>
    </r>
    <r>
      <rPr>
        <rFont val="Arial"/>
        <b/>
        <i/>
        <color theme="1"/>
        <sz val="10.0"/>
      </rPr>
      <t xml:space="preserve"> k</t>
    </r>
    <r>
      <rPr>
        <rFont val="Arial"/>
        <b/>
        <i/>
        <color theme="1"/>
        <sz val="10.0"/>
        <vertAlign val="subscript"/>
      </rPr>
      <t>v</t>
    </r>
  </si>
  <si>
    <t>Ratio of the load per unit area on a horizontal soil surface to the corresponding vertical displacement of the surface. Also known as the coefficient of subgrade reaction or subgrade modulus.</t>
  </si>
  <si>
    <t xml:space="preserve">lateral loading </t>
  </si>
  <si>
    <t>Any horizontally-directed forces applied to the foundation.</t>
  </si>
  <si>
    <r>
      <rPr>
        <rFont val="Arial"/>
        <b/>
        <color theme="1"/>
        <sz val="10.0"/>
      </rPr>
      <t xml:space="preserve">lateral soil pressure, </t>
    </r>
    <r>
      <rPr>
        <rFont val="Arial"/>
        <b/>
        <i/>
        <color theme="1"/>
        <sz val="10.0"/>
      </rPr>
      <t>p</t>
    </r>
    <r>
      <rPr>
        <rFont val="Arial"/>
        <b/>
        <color theme="1"/>
        <sz val="10.0"/>
      </rPr>
      <t xml:space="preserve"> </t>
    </r>
  </si>
  <si>
    <t>Net soil pressure acting normal to the sides of the foundation in response to horizontal displacements of the foundation.</t>
  </si>
  <si>
    <t xml:space="preserve">load combination </t>
  </si>
  <si>
    <t>A combination of nominal loads that can reasonably be expected to act on a structure. Loads in a particular combination will be reduced by load factors where there is a low probability of them simultaneously acting at their full value. Load factors in load combinations for strength design also account for uncertainties in structural analyses, and uncertainties surrounding nominal load calculations.</t>
  </si>
  <si>
    <t xml:space="preserve">load factor </t>
  </si>
  <si>
    <t>A factor that accounts for deviations of the actual load from the nominal loads, for uncertainties in the analysis that transforms the load into a load effect, and for the probability that more than one extreme load will simultaneously occur.</t>
  </si>
  <si>
    <t xml:space="preserve">nominal loads </t>
  </si>
  <si>
    <t>The magnitudes of loads specified in ASCE 7 for dead, live, wind, snow, rain, earthquake, etc.</t>
  </si>
  <si>
    <t xml:space="preserve">required soil strength </t>
  </si>
  <si>
    <t>Equal to the product of the nominal load and a load factor.</t>
  </si>
  <si>
    <t xml:space="preserve">resistance factor </t>
  </si>
  <si>
    <t>A factor that accounts for deviations of the actual strength from the nominal strength and the manner and consequences of failure. Also called “strength reduction factor”.</t>
  </si>
  <si>
    <r>
      <rPr>
        <rFont val="Arial"/>
        <b/>
        <color theme="1"/>
        <sz val="10.0"/>
      </rPr>
      <t xml:space="preserve">spring constant, </t>
    </r>
    <r>
      <rPr>
        <rFont val="Arial"/>
        <b/>
        <i/>
        <color theme="1"/>
        <sz val="10.0"/>
      </rPr>
      <t>K</t>
    </r>
    <r>
      <rPr>
        <rFont val="Arial"/>
        <b/>
        <i/>
        <color theme="1"/>
        <sz val="10.0"/>
        <vertAlign val="subscript"/>
      </rPr>
      <t>H</t>
    </r>
  </si>
  <si>
    <r>
      <rPr>
        <rFont val="Arial"/>
        <color theme="1"/>
        <sz val="10.0"/>
      </rPr>
      <t xml:space="preserve">A value assigned to the stiffness of a spring used to model the resistance provided by a soil layer with thickness, </t>
    </r>
    <r>
      <rPr>
        <rFont val="Arial"/>
        <i/>
        <color theme="1"/>
        <sz val="10.0"/>
      </rPr>
      <t>t</t>
    </r>
    <r>
      <rPr>
        <rFont val="Arial"/>
        <color theme="1"/>
        <sz val="10.0"/>
      </rPr>
      <t xml:space="preserve">, to the lateral movement of a foundation element with thickness, </t>
    </r>
    <r>
      <rPr>
        <rFont val="Arial"/>
        <i/>
        <color theme="1"/>
        <sz val="10.0"/>
      </rPr>
      <t>b</t>
    </r>
    <r>
      <rPr>
        <rFont val="Arial"/>
        <color theme="1"/>
        <sz val="10.0"/>
      </rPr>
      <t xml:space="preserve">. Numerically equal to the product of </t>
    </r>
    <r>
      <rPr>
        <rFont val="Arial"/>
        <i/>
        <color theme="1"/>
        <sz val="10.0"/>
      </rPr>
      <t>t,</t>
    </r>
    <r>
      <rPr>
        <rFont val="Arial"/>
        <color theme="1"/>
        <sz val="10.0"/>
      </rPr>
      <t xml:space="preserve"> </t>
    </r>
    <r>
      <rPr>
        <rFont val="Arial"/>
        <i/>
        <color theme="1"/>
        <sz val="10.0"/>
      </rPr>
      <t>b</t>
    </r>
    <r>
      <rPr>
        <rFont val="Arial"/>
        <color theme="1"/>
        <sz val="10.0"/>
      </rPr>
      <t xml:space="preserve"> and the modulus of horizontal subgrade reaction </t>
    </r>
    <r>
      <rPr>
        <rFont val="Arial"/>
        <i/>
        <color theme="1"/>
        <sz val="10.0"/>
      </rPr>
      <t>k.</t>
    </r>
  </si>
  <si>
    <t xml:space="preserve">strength design </t>
  </si>
  <si>
    <t>A method of proportioning structural members such that the computed forces produced in the members by the factored loads do not exceed the member design strength. Also called “load and resistance factor design”.</t>
  </si>
  <si>
    <t xml:space="preserve">structural analysis </t>
  </si>
  <si>
    <t>Any analysis used to determine the distribution of applied structural loads to various structural elements.</t>
  </si>
  <si>
    <t xml:space="preserve">vertical loading </t>
  </si>
  <si>
    <t>Any upward or downward force applied to the foundation.</t>
  </si>
  <si>
    <t>uplift resistance</t>
  </si>
  <si>
    <t>Resistance provided by the soil to the vertical force acting to withdraw the foundation.</t>
  </si>
  <si>
    <t>Nomenclature: Variables and Constants</t>
  </si>
  <si>
    <t>A</t>
  </si>
  <si>
    <r>
      <rPr>
        <rFont val="Arial"/>
        <color theme="1"/>
        <sz val="10.0"/>
      </rPr>
      <t>footing bearing area, m</t>
    </r>
    <r>
      <rPr>
        <rFont val="Arial"/>
        <color theme="1"/>
        <sz val="10.0"/>
        <vertAlign val="superscript"/>
      </rPr>
      <t>2</t>
    </r>
    <r>
      <rPr>
        <rFont val="Arial"/>
        <color theme="1"/>
        <sz val="10.0"/>
      </rPr>
      <t xml:space="preserve"> (in</t>
    </r>
    <r>
      <rPr>
        <rFont val="Arial"/>
        <color theme="1"/>
        <sz val="10.0"/>
        <vertAlign val="superscript"/>
      </rPr>
      <t>2</t>
    </r>
    <r>
      <rPr>
        <rFont val="Arial"/>
        <color theme="1"/>
        <sz val="10.0"/>
      </rPr>
      <t>)</t>
    </r>
  </si>
  <si>
    <r>
      <rPr>
        <rFont val="Arial"/>
        <i/>
        <color theme="1"/>
        <sz val="10.0"/>
      </rPr>
      <t>A</t>
    </r>
    <r>
      <rPr>
        <rFont val="Arial"/>
        <i/>
        <color theme="1"/>
        <sz val="10.0"/>
        <vertAlign val="subscript"/>
      </rPr>
      <t>E</t>
    </r>
  </si>
  <si>
    <r>
      <rPr>
        <rFont val="Arial"/>
        <color theme="1"/>
        <sz val="10.0"/>
      </rPr>
      <t xml:space="preserve">linear increase in Young’s modulus with depth </t>
    </r>
    <r>
      <rPr>
        <rFont val="Arial"/>
        <i/>
        <color theme="1"/>
        <sz val="10.0"/>
      </rPr>
      <t>z</t>
    </r>
    <r>
      <rPr>
        <rFont val="Arial"/>
        <color theme="1"/>
        <sz val="10.0"/>
      </rPr>
      <t xml:space="preserve"> below grade, kPa</t>
    </r>
    <r>
      <rPr>
        <rFont val="Arial"/>
        <i/>
        <color theme="1"/>
        <sz val="10.0"/>
      </rPr>
      <t>/</t>
    </r>
    <r>
      <rPr>
        <rFont val="Arial"/>
        <color theme="1"/>
        <sz val="10.0"/>
      </rPr>
      <t>m (lbf</t>
    </r>
    <r>
      <rPr>
        <rFont val="Arial"/>
        <i/>
        <color theme="1"/>
        <sz val="10.0"/>
      </rPr>
      <t>/</t>
    </r>
    <r>
      <rPr>
        <rFont val="Arial"/>
        <i/>
        <color theme="1"/>
        <sz val="10.0"/>
        <vertAlign val="superscript"/>
      </rPr>
      <t xml:space="preserve"> </t>
    </r>
    <r>
      <rPr>
        <rFont val="Arial"/>
        <color theme="1"/>
        <sz val="10.0"/>
      </rPr>
      <t>in</t>
    </r>
    <r>
      <rPr>
        <rFont val="Arial"/>
        <color theme="1"/>
        <sz val="10.0"/>
        <vertAlign val="superscript"/>
      </rPr>
      <t>2</t>
    </r>
    <r>
      <rPr>
        <rFont val="Arial"/>
        <i/>
        <color theme="1"/>
        <sz val="10.0"/>
      </rPr>
      <t>/</t>
    </r>
    <r>
      <rPr>
        <rFont val="Arial"/>
        <i/>
        <color theme="1"/>
        <sz val="10.0"/>
        <vertAlign val="superscript"/>
      </rPr>
      <t xml:space="preserve"> </t>
    </r>
    <r>
      <rPr>
        <rFont val="Arial"/>
        <color theme="1"/>
        <sz val="10.0"/>
      </rPr>
      <t xml:space="preserve">in). When </t>
    </r>
    <r>
      <rPr>
        <rFont val="Arial"/>
        <i/>
        <color theme="1"/>
        <sz val="10.0"/>
      </rPr>
      <t>A</t>
    </r>
    <r>
      <rPr>
        <rFont val="Arial"/>
        <i/>
        <color theme="1"/>
        <sz val="10.0"/>
        <vertAlign val="subscript"/>
      </rPr>
      <t>E</t>
    </r>
    <r>
      <rPr>
        <rFont val="Arial"/>
        <color theme="1"/>
        <sz val="10.0"/>
      </rPr>
      <t xml:space="preserve"> is multiplied by depth </t>
    </r>
    <r>
      <rPr>
        <rFont val="Arial"/>
        <i/>
        <color theme="1"/>
        <sz val="10.0"/>
      </rPr>
      <t>z</t>
    </r>
    <r>
      <rPr>
        <rFont val="Arial"/>
        <color theme="1"/>
        <sz val="10.0"/>
      </rPr>
      <t xml:space="preserve">, Young’s modulus </t>
    </r>
    <r>
      <rPr>
        <rFont val="Arial"/>
        <i/>
        <color theme="1"/>
        <sz val="10.0"/>
      </rPr>
      <t>E</t>
    </r>
    <r>
      <rPr>
        <rFont val="Arial"/>
        <i/>
        <color theme="1"/>
        <sz val="10.0"/>
        <vertAlign val="subscript"/>
      </rPr>
      <t>S</t>
    </r>
    <r>
      <rPr>
        <rFont val="Arial"/>
        <color theme="1"/>
        <sz val="10.0"/>
      </rPr>
      <t xml:space="preserve"> at depth </t>
    </r>
    <r>
      <rPr>
        <rFont val="Arial"/>
        <i/>
        <color theme="1"/>
        <sz val="10.0"/>
      </rPr>
      <t>z</t>
    </r>
    <r>
      <rPr>
        <rFont val="Arial"/>
        <color theme="1"/>
        <sz val="10.0"/>
      </rPr>
      <t xml:space="preserve"> (or </t>
    </r>
    <r>
      <rPr>
        <rFont val="Arial"/>
        <i/>
        <color theme="1"/>
        <sz val="10.0"/>
      </rPr>
      <t>E</t>
    </r>
    <r>
      <rPr>
        <rFont val="Arial"/>
        <i/>
        <color theme="1"/>
        <sz val="10.0"/>
        <vertAlign val="subscript"/>
      </rPr>
      <t>S,Z</t>
    </r>
    <r>
      <rPr>
        <rFont val="Arial"/>
        <color theme="1"/>
        <sz val="10.0"/>
      </rPr>
      <t>) is obtained</t>
    </r>
  </si>
  <si>
    <r>
      <rPr>
        <rFont val="Arial"/>
        <i/>
        <color theme="1"/>
        <sz val="10.0"/>
      </rPr>
      <t>A</t>
    </r>
    <r>
      <rPr>
        <rFont val="Arial"/>
        <i/>
        <color theme="1"/>
        <sz val="10.0"/>
        <vertAlign val="subscript"/>
      </rPr>
      <t>P</t>
    </r>
  </si>
  <si>
    <r>
      <rPr>
        <rFont val="Arial"/>
        <color theme="1"/>
        <sz val="10.0"/>
      </rPr>
      <t>cross-sectional area of post</t>
    </r>
    <r>
      <rPr>
        <rFont val="Arial"/>
        <i/>
        <color theme="1"/>
        <sz val="10.0"/>
      </rPr>
      <t>/</t>
    </r>
    <r>
      <rPr>
        <rFont val="Arial"/>
        <color theme="1"/>
        <sz val="10.0"/>
      </rPr>
      <t>pier, m</t>
    </r>
    <r>
      <rPr>
        <rFont val="Arial"/>
        <color theme="1"/>
        <sz val="10.0"/>
        <vertAlign val="superscript"/>
      </rPr>
      <t>2</t>
    </r>
    <r>
      <rPr>
        <rFont val="Arial"/>
        <color theme="1"/>
        <sz val="10.0"/>
      </rPr>
      <t xml:space="preserve"> (in</t>
    </r>
    <r>
      <rPr>
        <rFont val="Arial"/>
        <color theme="1"/>
        <sz val="10.0"/>
        <vertAlign val="superscript"/>
      </rPr>
      <t>2</t>
    </r>
    <r>
      <rPr>
        <rFont val="Arial"/>
        <color theme="1"/>
        <sz val="10.0"/>
      </rPr>
      <t xml:space="preserve">). For helical piers, </t>
    </r>
    <r>
      <rPr>
        <rFont val="Arial"/>
        <i/>
        <color theme="1"/>
        <sz val="10.0"/>
      </rPr>
      <t>A</t>
    </r>
    <r>
      <rPr>
        <rFont val="Arial"/>
        <i/>
        <color theme="1"/>
        <sz val="10.0"/>
        <vertAlign val="subscript"/>
      </rPr>
      <t>P</t>
    </r>
    <r>
      <rPr>
        <rFont val="Arial"/>
        <color theme="1"/>
        <sz val="10.0"/>
      </rPr>
      <t xml:space="preserve"> is the cross-sectional area of the shaft (it does not include the area of the attached helix)</t>
    </r>
  </si>
  <si>
    <t>b</t>
  </si>
  <si>
    <r>
      <rPr>
        <rFont val="Arial"/>
        <color theme="1"/>
        <sz val="10.0"/>
      </rPr>
      <t>width of the face of the post</t>
    </r>
    <r>
      <rPr>
        <rFont val="Arial"/>
        <i/>
        <color theme="1"/>
        <sz val="10.0"/>
      </rPr>
      <t>/</t>
    </r>
    <r>
      <rPr>
        <rFont val="Arial"/>
        <color theme="1"/>
        <sz val="10.0"/>
      </rPr>
      <t>pier, footing, or collar that applies load to the soil when the foundation moves laterally, m (in)</t>
    </r>
  </si>
  <si>
    <r>
      <rPr>
        <rFont val="Arial"/>
        <i/>
        <color theme="1"/>
        <sz val="10.0"/>
      </rPr>
      <t>b</t>
    </r>
    <r>
      <rPr>
        <rFont val="Arial"/>
        <i/>
        <color theme="1"/>
        <sz val="10.0"/>
        <vertAlign val="subscript"/>
      </rPr>
      <t>G</t>
    </r>
  </si>
  <si>
    <t>post/pier face width at the ground surface, m (in)</t>
  </si>
  <si>
    <t>B</t>
  </si>
  <si>
    <t>diameter of a round footing or side length of a square footing, m (in)</t>
  </si>
  <si>
    <r>
      <rPr>
        <rFont val="Arial"/>
        <i/>
        <color theme="1"/>
        <sz val="10.0"/>
      </rPr>
      <t>B</t>
    </r>
    <r>
      <rPr>
        <rFont val="Arial"/>
        <i/>
        <color theme="1"/>
        <sz val="10.0"/>
        <vertAlign val="subscript"/>
      </rPr>
      <t>U</t>
    </r>
  </si>
  <si>
    <t>diameter of a circular uplift resisting system or the smaller of the two dimensions characterizing a rectangular uplift resisting system, m (in)</t>
  </si>
  <si>
    <t>c</t>
  </si>
  <si>
    <r>
      <rPr>
        <rFont val="Arial"/>
        <color theme="1"/>
        <sz val="10.0"/>
      </rPr>
      <t>cohesion of soil, kPa (lbf</t>
    </r>
    <r>
      <rPr>
        <rFont val="Arial"/>
        <i/>
        <color theme="1"/>
        <sz val="10.0"/>
      </rPr>
      <t>/</t>
    </r>
    <r>
      <rPr>
        <rFont val="Arial"/>
        <color theme="1"/>
        <sz val="10.0"/>
      </rPr>
      <t xml:space="preserve"> in</t>
    </r>
    <r>
      <rPr>
        <rFont val="Arial"/>
        <color theme="1"/>
        <sz val="10.0"/>
        <vertAlign val="superscript"/>
      </rPr>
      <t>2</t>
    </r>
    <r>
      <rPr>
        <rFont val="Arial"/>
        <color theme="1"/>
        <sz val="10.0"/>
      </rPr>
      <t>)</t>
    </r>
  </si>
  <si>
    <r>
      <rPr>
        <rFont val="Arial"/>
        <i/>
        <color theme="1"/>
        <sz val="10.0"/>
      </rPr>
      <t>C</t>
    </r>
    <r>
      <rPr>
        <rFont val="Arial"/>
        <i/>
        <color theme="1"/>
        <sz val="10.0"/>
        <vertAlign val="subscript"/>
      </rPr>
      <t>CPT</t>
    </r>
  </si>
  <si>
    <r>
      <rPr>
        <rFont val="Arial"/>
        <color theme="1"/>
        <sz val="10.0"/>
      </rPr>
      <t>constant relating CPT blow counts to bearing resistance, kPa (lbf</t>
    </r>
    <r>
      <rPr>
        <rFont val="Arial"/>
        <i/>
        <color theme="1"/>
        <sz val="10.0"/>
      </rPr>
      <t>/</t>
    </r>
    <r>
      <rPr>
        <rFont val="Arial"/>
        <color theme="1"/>
        <sz val="10.0"/>
      </rPr>
      <t xml:space="preserve"> in</t>
    </r>
    <r>
      <rPr>
        <rFont val="Arial"/>
        <color theme="1"/>
        <sz val="10.0"/>
        <vertAlign val="superscript"/>
      </rPr>
      <t>2</t>
    </r>
    <r>
      <rPr>
        <rFont val="Arial"/>
        <color theme="1"/>
        <sz val="10.0"/>
      </rPr>
      <t>)</t>
    </r>
  </si>
  <si>
    <r>
      <rPr>
        <rFont val="Arial"/>
        <i/>
        <color theme="1"/>
        <sz val="10.0"/>
      </rPr>
      <t>C</t>
    </r>
    <r>
      <rPr>
        <rFont val="Arial"/>
        <i/>
        <color theme="1"/>
        <sz val="10.0"/>
        <vertAlign val="subscript"/>
      </rPr>
      <t>PB</t>
    </r>
  </si>
  <si>
    <t>empirical bearing capacity coefficient for adjustment of pressuremeter readings, dimensionless</t>
  </si>
  <si>
    <r>
      <rPr>
        <rFont val="Arial"/>
        <i/>
        <color theme="1"/>
        <sz val="10.0"/>
      </rPr>
      <t>C</t>
    </r>
    <r>
      <rPr>
        <rFont val="Arial"/>
        <i/>
        <color theme="1"/>
        <sz val="10.0"/>
        <vertAlign val="subscript"/>
      </rPr>
      <t>SPT</t>
    </r>
  </si>
  <si>
    <r>
      <rPr>
        <rFont val="Arial"/>
        <color theme="1"/>
        <sz val="10.0"/>
      </rPr>
      <t>constant relating SPT blow counts to bearing resistance,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</si>
  <si>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C</t>
    </r>
    <r>
      <rPr>
        <rFont val="Arial"/>
        <i/>
        <color theme="1"/>
        <sz val="10.0"/>
        <vertAlign val="subscript"/>
      </rPr>
      <t>w1</t>
    </r>
  </si>
  <si>
    <t>correction factor for effect of ground water location on the ultimate bearing strength of cohesionless soils, dimensionless</t>
  </si>
  <si>
    <r>
      <rPr>
        <rFont val="Arial"/>
        <i/>
        <color theme="1"/>
        <sz val="10.0"/>
      </rPr>
      <t>C</t>
    </r>
    <r>
      <rPr>
        <rFont val="Arial"/>
        <i/>
        <color theme="1"/>
        <sz val="10.0"/>
        <vertAlign val="subscript"/>
      </rPr>
      <t>w2</t>
    </r>
  </si>
  <si>
    <t>d</t>
  </si>
  <si>
    <t>post/pier embedment depth, m (in)</t>
  </si>
  <si>
    <r>
      <rPr>
        <rFont val="Arial"/>
        <i/>
        <color theme="1"/>
        <sz val="10.0"/>
      </rPr>
      <t>d</t>
    </r>
    <r>
      <rPr>
        <rFont val="Arial"/>
        <i/>
        <color theme="1"/>
        <sz val="10.0"/>
        <vertAlign val="subscript"/>
      </rPr>
      <t>c</t>
    </r>
  </si>
  <si>
    <t>depth factor for ultimate bearing strength of a cohesive soil based on the general bearing capacity equation, dimensionless</t>
  </si>
  <si>
    <r>
      <rPr>
        <rFont val="Arial"/>
        <i/>
        <color theme="1"/>
        <sz val="10.0"/>
      </rPr>
      <t>d</t>
    </r>
    <r>
      <rPr>
        <rFont val="Arial"/>
        <i/>
        <color theme="1"/>
        <sz val="10.0"/>
        <vertAlign val="subscript"/>
      </rPr>
      <t>q</t>
    </r>
  </si>
  <si>
    <t>depth factor for ultimate bearing strength of a cohesionless soil based on the general bearing capacity equation, dimensionless</t>
  </si>
  <si>
    <r>
      <rPr>
        <rFont val="Arial"/>
        <i/>
        <color theme="1"/>
        <sz val="10.0"/>
      </rPr>
      <t>d</t>
    </r>
    <r>
      <rPr>
        <rFont val="Arial"/>
        <i/>
        <color theme="1"/>
        <sz val="10.0"/>
        <vertAlign val="subscript"/>
      </rPr>
      <t>R</t>
    </r>
  </si>
  <si>
    <t>depth from ground surface to point of post/pier rotation, m (in)</t>
  </si>
  <si>
    <r>
      <rPr>
        <rFont val="Arial"/>
        <i/>
        <color theme="1"/>
        <sz val="10.0"/>
      </rPr>
      <t>d</t>
    </r>
    <r>
      <rPr>
        <rFont val="Arial"/>
        <i/>
        <color theme="1"/>
        <sz val="10.0"/>
        <vertAlign val="subscript"/>
      </rPr>
      <t>RU</t>
    </r>
  </si>
  <si>
    <t>depth from ground surface to point of post/pier rotation at ultimate load, m (in)</t>
  </si>
  <si>
    <r>
      <rPr>
        <rFont val="Arial"/>
        <i/>
        <color theme="1"/>
        <sz val="10.0"/>
      </rPr>
      <t>d</t>
    </r>
    <r>
      <rPr>
        <rFont val="Arial"/>
        <i/>
        <color theme="1"/>
        <sz val="10.0"/>
        <vertAlign val="subscript"/>
      </rPr>
      <t>F</t>
    </r>
  </si>
  <si>
    <t>foundation or footing depth, m (ft)</t>
  </si>
  <si>
    <r>
      <rPr>
        <rFont val="Arial"/>
        <i/>
        <color theme="1"/>
        <sz val="10.0"/>
      </rPr>
      <t>d</t>
    </r>
    <r>
      <rPr>
        <rFont val="Arial"/>
        <i/>
        <color theme="1"/>
        <sz val="10.0"/>
        <vertAlign val="subscript"/>
      </rPr>
      <t>U</t>
    </r>
  </si>
  <si>
    <t>distance between soil surface and top of the foundation uplift resisting system, m (in)</t>
  </si>
  <si>
    <r>
      <rPr>
        <rFont val="Arial"/>
        <i/>
        <color theme="1"/>
        <sz val="10.0"/>
      </rPr>
      <t>d</t>
    </r>
    <r>
      <rPr>
        <rFont val="Arial"/>
        <i/>
        <color theme="1"/>
        <sz val="10.0"/>
        <vertAlign val="subscript"/>
      </rPr>
      <t>W</t>
    </r>
  </si>
  <si>
    <t>distance between soil surface and top of the water table, m (in)</t>
  </si>
  <si>
    <r>
      <rPr>
        <rFont val="Arial"/>
        <i/>
        <color theme="1"/>
        <sz val="10.0"/>
      </rPr>
      <t>E</t>
    </r>
    <r>
      <rPr>
        <rFont val="Arial"/>
        <i/>
        <color theme="1"/>
        <sz val="10.0"/>
        <vertAlign val="subscript"/>
      </rPr>
      <t>P</t>
    </r>
  </si>
  <si>
    <r>
      <rPr>
        <rFont val="Arial"/>
        <color theme="1"/>
        <sz val="10.0"/>
      </rPr>
      <t>Young’s modulus for the post</t>
    </r>
    <r>
      <rPr>
        <rFont val="Arial"/>
        <i/>
        <color theme="1"/>
        <sz val="10.0"/>
      </rPr>
      <t>/</t>
    </r>
    <r>
      <rPr>
        <rFont val="Arial"/>
        <color theme="1"/>
        <sz val="10.0"/>
      </rPr>
      <t>pier material,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</si>
  <si>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E</t>
    </r>
    <r>
      <rPr>
        <rFont val="Arial"/>
        <i/>
        <color theme="1"/>
        <sz val="10.0"/>
        <vertAlign val="subscript"/>
      </rPr>
      <t>S</t>
    </r>
  </si>
  <si>
    <r>
      <rPr>
        <rFont val="Arial"/>
        <color theme="1"/>
        <sz val="10.0"/>
      </rPr>
      <t xml:space="preserve">Young’s modulus for soil which may or may not vary with depth </t>
    </r>
    <r>
      <rPr>
        <rFont val="Arial"/>
        <i/>
        <color theme="1"/>
        <sz val="10.0"/>
      </rPr>
      <t>z</t>
    </r>
    <r>
      <rPr>
        <rFont val="Arial"/>
        <color theme="1"/>
        <sz val="10.0"/>
      </rPr>
      <t>,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</si>
  <si>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E</t>
    </r>
    <r>
      <rPr>
        <rFont val="Arial"/>
        <i/>
        <color theme="1"/>
        <sz val="10.0"/>
        <vertAlign val="subscript"/>
      </rPr>
      <t>S,B</t>
    </r>
  </si>
  <si>
    <r>
      <rPr>
        <rFont val="Arial"/>
        <color theme="1"/>
        <sz val="10.0"/>
      </rPr>
      <t xml:space="preserve">Young’s modulus for backfill soil which may or may not vary with depth </t>
    </r>
    <r>
      <rPr>
        <rFont val="Arial"/>
        <i/>
        <color theme="1"/>
        <sz val="10.0"/>
      </rPr>
      <t>z</t>
    </r>
    <r>
      <rPr>
        <rFont val="Arial"/>
        <color theme="1"/>
        <sz val="10.0"/>
      </rPr>
      <t>,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</si>
  <si>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E</t>
    </r>
    <r>
      <rPr>
        <rFont val="Arial"/>
        <i/>
        <color theme="1"/>
        <sz val="10.0"/>
        <vertAlign val="subscript"/>
      </rPr>
      <t>S,U</t>
    </r>
  </si>
  <si>
    <r>
      <rPr>
        <rFont val="Arial"/>
        <color theme="1"/>
        <sz val="10.0"/>
      </rPr>
      <t xml:space="preserve">Young’s modulus for unexcavated soil which may or may not vary with depth </t>
    </r>
    <r>
      <rPr>
        <rFont val="Arial"/>
        <i/>
        <color theme="1"/>
        <sz val="10.0"/>
      </rPr>
      <t>z</t>
    </r>
    <r>
      <rPr>
        <rFont val="Arial"/>
        <color theme="1"/>
        <sz val="10.0"/>
      </rPr>
      <t>,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</si>
  <si>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E</t>
    </r>
    <r>
      <rPr>
        <rFont val="Arial"/>
        <i/>
        <color theme="1"/>
        <sz val="10.0"/>
        <vertAlign val="subscript"/>
      </rPr>
      <t>S,Z</t>
    </r>
  </si>
  <si>
    <r>
      <rPr>
        <rFont val="Arial"/>
        <color theme="1"/>
        <sz val="10.0"/>
      </rPr>
      <t xml:space="preserve">Young’s modulus for unexcavated soil that is assumed equal to zero at grade and increases linearly with increasing depth </t>
    </r>
    <r>
      <rPr>
        <rFont val="Arial"/>
        <i/>
        <color theme="1"/>
        <sz val="10.0"/>
      </rPr>
      <t>z</t>
    </r>
    <r>
      <rPr>
        <rFont val="Arial"/>
        <color theme="1"/>
        <sz val="10.0"/>
      </rPr>
      <t xml:space="preserve"> below grade,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</si>
  <si>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f</t>
    </r>
    <r>
      <rPr>
        <rFont val="Arial"/>
        <i/>
        <color theme="1"/>
        <sz val="10.0"/>
        <vertAlign val="subscript"/>
      </rPr>
      <t>B</t>
    </r>
  </si>
  <si>
    <t>ASD factor of safety for bearing strength assessment, dimensionless</t>
  </si>
  <si>
    <r>
      <rPr>
        <rFont val="Arial"/>
        <i/>
        <color theme="1"/>
        <sz val="10.0"/>
      </rPr>
      <t>f</t>
    </r>
    <r>
      <rPr>
        <rFont val="Arial"/>
        <i/>
        <color theme="1"/>
        <sz val="10.0"/>
        <vertAlign val="subscript"/>
      </rPr>
      <t>L</t>
    </r>
  </si>
  <si>
    <t>ASD factor of safety for lateral strength assessment, dimensionless</t>
  </si>
  <si>
    <r>
      <rPr>
        <rFont val="Arial"/>
        <i/>
        <color theme="1"/>
        <sz val="10.0"/>
      </rPr>
      <t>f</t>
    </r>
    <r>
      <rPr>
        <rFont val="Arial"/>
        <i/>
        <color theme="1"/>
        <sz val="10.0"/>
        <vertAlign val="subscript"/>
      </rPr>
      <t>U</t>
    </r>
  </si>
  <si>
    <t>ASD factor of safety for uplift strength assessment, dimensionless</t>
  </si>
  <si>
    <r>
      <rPr>
        <rFont val="Arial"/>
        <i/>
        <color theme="1"/>
        <sz val="10.0"/>
      </rPr>
      <t>F</t>
    </r>
    <r>
      <rPr>
        <rFont val="Arial"/>
        <i/>
        <color theme="1"/>
        <sz val="10.0"/>
        <vertAlign val="subscript"/>
      </rPr>
      <t>C</t>
    </r>
  </si>
  <si>
    <t>breakout factor for soil uplift, dimensionless</t>
  </si>
  <si>
    <r>
      <rPr>
        <rFont val="Arial"/>
        <i/>
        <color theme="1"/>
        <sz val="10.0"/>
      </rPr>
      <t>F</t>
    </r>
    <r>
      <rPr>
        <rFont val="Arial"/>
        <i/>
        <color theme="1"/>
        <sz val="10.0"/>
        <vertAlign val="subscript"/>
      </rPr>
      <t>S</t>
    </r>
  </si>
  <si>
    <t>force in a horizontal spring used to model lateral soil resistance, kN (lbf)</t>
  </si>
  <si>
    <r>
      <rPr>
        <rFont val="Arial"/>
        <i/>
        <color theme="1"/>
        <sz val="10.0"/>
      </rPr>
      <t>F</t>
    </r>
    <r>
      <rPr>
        <rFont val="Arial"/>
        <i/>
        <color theme="1"/>
        <sz val="10.0"/>
        <vertAlign val="subscript"/>
      </rPr>
      <t>ASD</t>
    </r>
  </si>
  <si>
    <r>
      <rPr>
        <rFont val="Arial"/>
        <i/>
        <color theme="1"/>
        <sz val="10.0"/>
      </rPr>
      <t>F</t>
    </r>
    <r>
      <rPr>
        <rFont val="Arial"/>
        <i/>
        <color theme="1"/>
        <sz val="10.0"/>
        <vertAlign val="subscript"/>
      </rPr>
      <t>S</t>
    </r>
    <r>
      <rPr>
        <rFont val="Arial"/>
        <i val="0"/>
        <color theme="1"/>
        <sz val="10.0"/>
      </rPr>
      <t xml:space="preserve"> induced by an ASD load combination, kN (lbf)</t>
    </r>
  </si>
  <si>
    <r>
      <rPr>
        <rFont val="Arial"/>
        <i/>
        <color theme="1"/>
        <sz val="10.0"/>
      </rPr>
      <t>F</t>
    </r>
    <r>
      <rPr>
        <rFont val="Arial"/>
        <i/>
        <color theme="1"/>
        <sz val="10.0"/>
        <vertAlign val="subscript"/>
      </rPr>
      <t>LRFD</t>
    </r>
  </si>
  <si>
    <r>
      <rPr>
        <rFont val="Arial"/>
        <i/>
        <color theme="1"/>
        <sz val="10.0"/>
      </rPr>
      <t>F</t>
    </r>
    <r>
      <rPr>
        <rFont val="Arial"/>
        <i/>
        <color theme="1"/>
        <sz val="10.0"/>
        <vertAlign val="subscript"/>
      </rPr>
      <t>S</t>
    </r>
    <r>
      <rPr>
        <rFont val="Arial"/>
        <i val="0"/>
        <color theme="1"/>
        <sz val="10.0"/>
      </rPr>
      <t xml:space="preserve"> induced by an LRFD load combination, kN (lbf)</t>
    </r>
  </si>
  <si>
    <r>
      <rPr>
        <rFont val="Arial"/>
        <i/>
        <color theme="1"/>
        <sz val="10.0"/>
      </rPr>
      <t>F</t>
    </r>
    <r>
      <rPr>
        <rFont val="Arial"/>
        <i/>
        <color theme="1"/>
        <sz val="10.0"/>
        <vertAlign val="subscript"/>
      </rPr>
      <t>ult</t>
    </r>
  </si>
  <si>
    <t>soil spring ultimate strength, kN (lbf)</t>
  </si>
  <si>
    <t>g</t>
  </si>
  <si>
    <r>
      <rPr>
        <rFont val="Arial"/>
        <color theme="1"/>
        <sz val="10.0"/>
      </rPr>
      <t>gravitation acceleration constant, 9.81x10</t>
    </r>
    <r>
      <rPr>
        <rFont val="Arial"/>
        <color theme="1"/>
        <sz val="10.0"/>
        <vertAlign val="superscript"/>
      </rPr>
      <t>-3</t>
    </r>
    <r>
      <rPr>
        <rFont val="Arial"/>
        <color theme="1"/>
        <sz val="10.0"/>
      </rPr>
      <t xml:space="preserve"> kN</t>
    </r>
    <r>
      <rPr>
        <rFont val="Arial"/>
        <i/>
        <color theme="1"/>
        <sz val="10.0"/>
      </rPr>
      <t>/</t>
    </r>
    <r>
      <rPr>
        <rFont val="Arial"/>
        <color theme="1"/>
        <sz val="10.0"/>
      </rPr>
      <t>kg (1.0 lbf</t>
    </r>
    <r>
      <rPr>
        <rFont val="Arial"/>
        <i/>
        <color theme="1"/>
        <sz val="10.0"/>
      </rPr>
      <t>/</t>
    </r>
    <r>
      <rPr>
        <rFont val="Arial"/>
        <color theme="1"/>
        <sz val="10.0"/>
      </rPr>
      <t>lbm)</t>
    </r>
  </si>
  <si>
    <t>h</t>
  </si>
  <si>
    <t>vertical extent of the uplift soil failure surface, m (in)</t>
  </si>
  <si>
    <r>
      <rPr>
        <rFont val="Arial"/>
        <i/>
        <color theme="1"/>
        <sz val="10.0"/>
      </rPr>
      <t>I</t>
    </r>
    <r>
      <rPr>
        <rFont val="Arial"/>
        <i/>
        <color theme="1"/>
        <sz val="10.0"/>
        <vertAlign val="subscript"/>
      </rPr>
      <t>P</t>
    </r>
  </si>
  <si>
    <r>
      <rPr>
        <rFont val="Arial"/>
        <color theme="1"/>
        <sz val="10.0"/>
      </rPr>
      <t>moment of inertia of post/pier around axis of rotation, m</t>
    </r>
    <r>
      <rPr>
        <rFont val="Arial"/>
        <color theme="1"/>
        <sz val="10.0"/>
        <vertAlign val="superscript"/>
      </rPr>
      <t>4</t>
    </r>
    <r>
      <rPr>
        <rFont val="Arial"/>
        <color theme="1"/>
        <sz val="10.0"/>
      </rPr>
      <t xml:space="preserve"> (in</t>
    </r>
    <r>
      <rPr>
        <rFont val="Arial"/>
        <color theme="1"/>
        <sz val="10.0"/>
        <vertAlign val="superscript"/>
      </rPr>
      <t>4</t>
    </r>
    <r>
      <rPr>
        <rFont val="Arial"/>
        <color theme="1"/>
        <sz val="10.0"/>
      </rPr>
      <t xml:space="preserve">). Equal to </t>
    </r>
    <r>
      <rPr>
        <rFont val="Arial"/>
        <i/>
        <color theme="1"/>
        <sz val="10.0"/>
      </rPr>
      <t>w</t>
    </r>
    <r>
      <rPr>
        <rFont val="Arial"/>
        <i/>
        <color theme="1"/>
        <sz val="10.0"/>
        <vertAlign val="superscript"/>
      </rPr>
      <t xml:space="preserve"> </t>
    </r>
    <r>
      <rPr>
        <rFont val="Arial"/>
        <color theme="1"/>
        <sz val="10.0"/>
        <vertAlign val="superscript"/>
      </rPr>
      <t>3</t>
    </r>
    <r>
      <rPr>
        <rFont val="Arial"/>
        <i/>
        <color theme="1"/>
        <sz val="10.0"/>
      </rPr>
      <t>b/</t>
    </r>
    <r>
      <rPr>
        <rFont val="Arial"/>
        <color theme="1"/>
        <sz val="10.0"/>
      </rPr>
      <t>12 for a solid rectangular post</t>
    </r>
    <r>
      <rPr>
        <rFont val="Arial"/>
        <i/>
        <color theme="1"/>
        <sz val="10.0"/>
      </rPr>
      <t>/</t>
    </r>
    <r>
      <rPr>
        <rFont val="Arial"/>
        <color theme="1"/>
        <sz val="10.0"/>
      </rPr>
      <t>pier</t>
    </r>
  </si>
  <si>
    <r>
      <rPr>
        <rFont val="Arial"/>
        <i/>
        <color theme="1"/>
        <sz val="10.0"/>
      </rPr>
      <t>I</t>
    </r>
    <r>
      <rPr>
        <rFont val="Arial"/>
        <i/>
        <color theme="1"/>
        <sz val="10.0"/>
        <vertAlign val="subscript"/>
      </rPr>
      <t>S</t>
    </r>
  </si>
  <si>
    <t>strain influence factor, dimensionless</t>
  </si>
  <si>
    <t>k</t>
  </si>
  <si>
    <r>
      <rPr>
        <rFont val="Arial"/>
        <color theme="1"/>
        <sz val="10.0"/>
      </rPr>
      <t xml:space="preserve">modulus of horizontal subgrade reaction which may or may not vary with depth </t>
    </r>
    <r>
      <rPr>
        <rFont val="Arial"/>
        <i/>
        <color theme="1"/>
        <sz val="10.0"/>
      </rPr>
      <t>z</t>
    </r>
    <r>
      <rPr>
        <rFont val="Arial"/>
        <color theme="1"/>
        <sz val="10.0"/>
      </rPr>
      <t>,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in</t>
    </r>
    <r>
      <rPr>
        <rFont val="Arial"/>
        <color theme="1"/>
        <sz val="10.0"/>
        <vertAlign val="superscript"/>
      </rPr>
      <t>3</t>
    </r>
    <r>
      <rPr>
        <rFont val="Arial"/>
        <color theme="1"/>
        <sz val="10.0"/>
      </rPr>
      <t>)</t>
    </r>
  </si>
  <si>
    <r>
      <rPr>
        <rFont val="Arial"/>
        <i/>
        <color theme="1"/>
        <sz val="10.0"/>
      </rPr>
      <t>k</t>
    </r>
    <r>
      <rPr>
        <rFont val="Arial"/>
        <i/>
        <color theme="1"/>
        <sz val="10.0"/>
        <vertAlign val="subscript"/>
      </rPr>
      <t>c</t>
    </r>
  </si>
  <si>
    <r>
      <rPr>
        <rFont val="Arial"/>
        <color theme="1"/>
        <sz val="10.0"/>
      </rPr>
      <t xml:space="preserve">modulus of horizontal subgrade reaction that is constant with depth </t>
    </r>
    <r>
      <rPr>
        <rFont val="Arial"/>
        <i/>
        <color theme="1"/>
        <sz val="10.0"/>
      </rPr>
      <t>z</t>
    </r>
    <r>
      <rPr>
        <rFont val="Arial"/>
        <color theme="1"/>
        <sz val="10.0"/>
      </rPr>
      <t>,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in</t>
    </r>
    <r>
      <rPr>
        <rFont val="Arial"/>
        <color theme="1"/>
        <sz val="10.0"/>
        <vertAlign val="superscript"/>
      </rPr>
      <t>3</t>
    </r>
    <r>
      <rPr>
        <rFont val="Arial"/>
        <color theme="1"/>
        <sz val="10.0"/>
      </rPr>
      <t>)</t>
    </r>
  </si>
  <si>
    <r>
      <rPr>
        <rFont val="Arial"/>
        <i/>
        <color theme="1"/>
        <sz val="10.0"/>
      </rPr>
      <t>k</t>
    </r>
    <r>
      <rPr>
        <rFont val="Arial"/>
        <i/>
        <color theme="1"/>
        <sz val="10.0"/>
        <vertAlign val="subscript"/>
      </rPr>
      <t>B</t>
    </r>
  </si>
  <si>
    <r>
      <rPr>
        <rFont val="Arial"/>
        <color theme="1"/>
        <sz val="10.0"/>
      </rPr>
      <t xml:space="preserve">modulus of horizontal subgrade for backfill soil which may or may not vary with depth </t>
    </r>
    <r>
      <rPr>
        <rFont val="Arial"/>
        <i/>
        <color theme="1"/>
        <sz val="10.0"/>
      </rPr>
      <t>z</t>
    </r>
    <r>
      <rPr>
        <rFont val="Arial"/>
        <color theme="1"/>
        <sz val="10.0"/>
      </rPr>
      <t>,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in</t>
    </r>
    <r>
      <rPr>
        <rFont val="Arial"/>
        <color theme="1"/>
        <sz val="10.0"/>
        <vertAlign val="superscript"/>
      </rPr>
      <t>3</t>
    </r>
    <r>
      <rPr>
        <rFont val="Arial"/>
        <color theme="1"/>
        <sz val="10.0"/>
      </rPr>
      <t>)</t>
    </r>
  </si>
  <si>
    <r>
      <rPr>
        <rFont val="Arial"/>
        <i/>
        <color theme="1"/>
        <sz val="10.0"/>
      </rPr>
      <t>k</t>
    </r>
    <r>
      <rPr>
        <rFont val="Arial"/>
        <i/>
        <color theme="1"/>
        <sz val="10.0"/>
        <vertAlign val="subscript"/>
      </rPr>
      <t>U</t>
    </r>
  </si>
  <si>
    <r>
      <rPr>
        <rFont val="Arial"/>
        <color theme="1"/>
        <sz val="10.0"/>
      </rPr>
      <t xml:space="preserve">modulus of horizontal subgrade reaction for unexcavated soil which may or may not vary with depth </t>
    </r>
    <r>
      <rPr>
        <rFont val="Arial"/>
        <i/>
        <color theme="1"/>
        <sz val="10.0"/>
      </rPr>
      <t>z</t>
    </r>
    <r>
      <rPr>
        <rFont val="Arial"/>
        <color theme="1"/>
        <sz val="10.0"/>
      </rPr>
      <t>,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in</t>
    </r>
    <r>
      <rPr>
        <rFont val="Arial"/>
        <color theme="1"/>
        <sz val="10.0"/>
        <vertAlign val="superscript"/>
      </rPr>
      <t>3</t>
    </r>
    <r>
      <rPr>
        <rFont val="Arial"/>
        <color theme="1"/>
        <sz val="10.0"/>
      </rPr>
      <t>)</t>
    </r>
  </si>
  <si>
    <r>
      <rPr>
        <rFont val="Arial"/>
        <i/>
        <color theme="1"/>
        <sz val="10.0"/>
      </rPr>
      <t>k</t>
    </r>
    <r>
      <rPr>
        <rFont val="Arial"/>
        <i/>
        <color theme="1"/>
        <sz val="10.0"/>
        <vertAlign val="subscript"/>
      </rPr>
      <t>V</t>
    </r>
  </si>
  <si>
    <r>
      <rPr>
        <rFont val="Arial"/>
        <color theme="1"/>
        <sz val="10.0"/>
      </rPr>
      <t>modulus of vertical subgrade reaction,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in</t>
    </r>
    <r>
      <rPr>
        <rFont val="Arial"/>
        <color theme="1"/>
        <sz val="10.0"/>
        <vertAlign val="superscript"/>
      </rPr>
      <t>3</t>
    </r>
    <r>
      <rPr>
        <rFont val="Arial"/>
        <color theme="1"/>
        <sz val="10.0"/>
      </rPr>
      <t>)</t>
    </r>
  </si>
  <si>
    <r>
      <rPr>
        <rFont val="Arial"/>
        <i/>
        <color theme="1"/>
        <sz val="10.0"/>
      </rPr>
      <t>K</t>
    </r>
    <r>
      <rPr>
        <rFont val="Arial"/>
        <i/>
        <color theme="1"/>
        <sz val="10.0"/>
        <vertAlign val="subscript"/>
      </rPr>
      <t>H</t>
    </r>
  </si>
  <si>
    <r>
      <rPr>
        <rFont val="Arial"/>
        <color theme="1"/>
        <sz val="10.0"/>
      </rPr>
      <t xml:space="preserve">stiffness of a horizontal spring used to model the resistance to lateral post/pier movement provided by a soil layer with thickness </t>
    </r>
    <r>
      <rPr>
        <rFont val="Arial"/>
        <i/>
        <color theme="1"/>
        <sz val="10.0"/>
      </rPr>
      <t xml:space="preserve">t </t>
    </r>
    <r>
      <rPr>
        <rFont val="Arial"/>
        <color theme="1"/>
        <sz val="10.0"/>
      </rPr>
      <t>in contact with a foundation element of width</t>
    </r>
    <r>
      <rPr>
        <rFont val="Arial"/>
        <i/>
        <color theme="1"/>
        <sz val="10.0"/>
      </rPr>
      <t xml:space="preserve"> b</t>
    </r>
    <r>
      <rPr>
        <rFont val="Arial"/>
        <color theme="1"/>
        <sz val="10.0"/>
      </rPr>
      <t>, kN</t>
    </r>
    <r>
      <rPr>
        <rFont val="Arial"/>
        <i/>
        <color theme="1"/>
        <sz val="10.0"/>
      </rPr>
      <t>/</t>
    </r>
    <r>
      <rPr>
        <rFont val="Arial"/>
        <color theme="1"/>
        <sz val="10.0"/>
      </rPr>
      <t>m (lbf</t>
    </r>
    <r>
      <rPr>
        <rFont val="Arial"/>
        <i/>
        <color theme="1"/>
        <sz val="10.0"/>
      </rPr>
      <t>/</t>
    </r>
    <r>
      <rPr>
        <rFont val="Arial"/>
        <color theme="1"/>
        <sz val="10.0"/>
      </rPr>
      <t>in)</t>
    </r>
  </si>
  <si>
    <r>
      <rPr>
        <rFont val="Arial"/>
        <i/>
        <color theme="1"/>
        <sz val="10.0"/>
      </rPr>
      <t>K</t>
    </r>
    <r>
      <rPr>
        <rFont val="Arial"/>
        <i/>
        <color theme="1"/>
        <sz val="10.0"/>
        <vertAlign val="subscript"/>
      </rPr>
      <t>P</t>
    </r>
  </si>
  <si>
    <t>coefficient of passive earth pressure, dimensionless</t>
  </si>
  <si>
    <r>
      <rPr>
        <rFont val="Arial"/>
        <i/>
        <color theme="1"/>
        <sz val="10.0"/>
      </rPr>
      <t>K</t>
    </r>
    <r>
      <rPr>
        <rFont val="Arial"/>
        <i/>
        <color theme="1"/>
        <sz val="10.0"/>
        <vertAlign val="subscript"/>
      </rPr>
      <t>U</t>
    </r>
  </si>
  <si>
    <t>nominal uplift coefficient of earth pressure on a vertical plane, dimensionless</t>
  </si>
  <si>
    <r>
      <rPr>
        <rFont val="Arial"/>
        <i/>
        <color theme="1"/>
        <sz val="10.0"/>
      </rPr>
      <t>L</t>
    </r>
    <r>
      <rPr>
        <rFont val="Arial"/>
        <i/>
        <color theme="1"/>
        <sz val="10.0"/>
        <vertAlign val="subscript"/>
      </rPr>
      <t>U</t>
    </r>
  </si>
  <si>
    <r>
      <rPr>
        <rFont val="Arial"/>
        <color theme="1"/>
        <sz val="10.0"/>
      </rPr>
      <t xml:space="preserve">length of a rectangular uplift resisting system with a width </t>
    </r>
    <r>
      <rPr>
        <rFont val="Arial"/>
        <i/>
        <color theme="1"/>
        <sz val="10.0"/>
      </rPr>
      <t>B</t>
    </r>
    <r>
      <rPr>
        <rFont val="Arial"/>
        <i/>
        <color theme="1"/>
        <sz val="10.0"/>
        <vertAlign val="subscript"/>
      </rPr>
      <t>U</t>
    </r>
    <r>
      <rPr>
        <rFont val="Arial"/>
        <color theme="1"/>
        <sz val="10.0"/>
      </rPr>
      <t>, m (in)</t>
    </r>
  </si>
  <si>
    <t>M</t>
  </si>
  <si>
    <r>
      <rPr>
        <rFont val="Arial"/>
        <color theme="1"/>
        <sz val="10.0"/>
      </rPr>
      <t>bending moment in post</t>
    </r>
    <r>
      <rPr>
        <rFont val="Arial"/>
        <i/>
        <color theme="1"/>
        <sz val="10.0"/>
      </rPr>
      <t>/</t>
    </r>
    <r>
      <rPr>
        <rFont val="Arial"/>
        <color theme="1"/>
        <sz val="10.0"/>
      </rPr>
      <t>pier, kN-m (lbf- in)</t>
    </r>
  </si>
  <si>
    <r>
      <rPr>
        <rFont val="Arial"/>
        <i/>
        <color theme="1"/>
        <sz val="10.0"/>
      </rPr>
      <t>M</t>
    </r>
    <r>
      <rPr>
        <rFont val="Arial"/>
        <i/>
        <color theme="1"/>
        <sz val="10.0"/>
        <vertAlign val="subscript"/>
      </rPr>
      <t>F</t>
    </r>
  </si>
  <si>
    <t>foundation mass, kg (lbm)</t>
  </si>
  <si>
    <r>
      <rPr>
        <rFont val="Arial"/>
        <i/>
        <color theme="1"/>
        <sz val="10.0"/>
      </rPr>
      <t>M</t>
    </r>
    <r>
      <rPr>
        <rFont val="Arial"/>
        <i/>
        <color theme="1"/>
        <sz val="10.0"/>
        <vertAlign val="subscript"/>
      </rPr>
      <t>G</t>
    </r>
  </si>
  <si>
    <r>
      <rPr>
        <rFont val="Arial"/>
        <color theme="1"/>
        <sz val="10.0"/>
      </rPr>
      <t>bending moment in post</t>
    </r>
    <r>
      <rPr>
        <rFont val="Arial"/>
        <i/>
        <color theme="1"/>
        <sz val="10.0"/>
      </rPr>
      <t>/</t>
    </r>
    <r>
      <rPr>
        <rFont val="Arial"/>
        <color theme="1"/>
        <sz val="10.0"/>
      </rPr>
      <t>pier at the ground surface (at grade), kN-m (lbf- in)</t>
    </r>
  </si>
  <si>
    <r>
      <rPr>
        <rFont val="Arial"/>
        <i/>
        <color theme="1"/>
        <sz val="10.0"/>
      </rPr>
      <t>M</t>
    </r>
    <r>
      <rPr>
        <rFont val="Arial"/>
        <i/>
        <color theme="1"/>
        <sz val="10.0"/>
        <vertAlign val="subscript"/>
      </rPr>
      <t>ASD</t>
    </r>
  </si>
  <si>
    <r>
      <rPr>
        <rFont val="Arial"/>
        <i/>
        <color theme="1"/>
        <sz val="10.0"/>
      </rPr>
      <t>M</t>
    </r>
    <r>
      <rPr>
        <rFont val="Arial"/>
        <i/>
        <color theme="1"/>
        <sz val="10.0"/>
        <vertAlign val="subscript"/>
      </rPr>
      <t>G</t>
    </r>
    <r>
      <rPr>
        <rFont val="Arial"/>
        <i val="0"/>
        <color theme="1"/>
        <sz val="10.0"/>
      </rPr>
      <t xml:space="preserve"> due to a ASD load combination, kN-m (lbf-in)</t>
    </r>
  </si>
  <si>
    <r>
      <rPr>
        <rFont val="Arial"/>
        <i/>
        <color theme="1"/>
        <sz val="10.0"/>
      </rPr>
      <t>M</t>
    </r>
    <r>
      <rPr>
        <rFont val="Arial"/>
        <i/>
        <color theme="1"/>
        <sz val="10.0"/>
        <vertAlign val="subscript"/>
      </rPr>
      <t>LRFD</t>
    </r>
  </si>
  <si>
    <r>
      <rPr>
        <rFont val="Arial"/>
        <i/>
        <color theme="1"/>
        <sz val="10.0"/>
      </rPr>
      <t>M</t>
    </r>
    <r>
      <rPr>
        <rFont val="Arial"/>
        <i/>
        <color theme="1"/>
        <sz val="10.0"/>
        <vertAlign val="subscript"/>
      </rPr>
      <t>G</t>
    </r>
    <r>
      <rPr>
        <rFont val="Arial"/>
        <i val="0"/>
        <color theme="1"/>
        <sz val="10.0"/>
      </rPr>
      <t xml:space="preserve"> due to a LRFD load combination, kN-m (lbf-in)</t>
    </r>
  </si>
  <si>
    <r>
      <rPr>
        <rFont val="Arial"/>
        <i/>
        <color theme="1"/>
        <sz val="10.0"/>
      </rPr>
      <t>M</t>
    </r>
    <r>
      <rPr>
        <rFont val="Arial"/>
        <i/>
        <color theme="1"/>
        <sz val="10.0"/>
        <vertAlign val="subscript"/>
      </rPr>
      <t>U</t>
    </r>
  </si>
  <si>
    <t>ultimate groundline bending moment capacity of the foundation as limited by soil strength, kN-m (lbf-in)</t>
  </si>
  <si>
    <r>
      <rPr>
        <rFont val="Arial"/>
        <i/>
        <color theme="1"/>
        <sz val="10.0"/>
      </rPr>
      <t>n</t>
    </r>
    <r>
      <rPr>
        <rFont val="Arial"/>
        <i/>
        <color theme="1"/>
        <sz val="10.0"/>
        <vertAlign val="subscript"/>
      </rPr>
      <t>h</t>
    </r>
  </si>
  <si>
    <r>
      <rPr>
        <rFont val="Arial"/>
        <color theme="1"/>
        <sz val="10.0"/>
      </rPr>
      <t>constant of horizontal subgrade reaction, kN</t>
    </r>
    <r>
      <rPr>
        <rFont val="Arial"/>
        <i/>
        <color theme="1"/>
        <sz val="10.0"/>
      </rPr>
      <t>/</t>
    </r>
    <r>
      <rPr>
        <rFont val="Arial"/>
        <color theme="1"/>
        <sz val="10.0"/>
      </rPr>
      <t>m</t>
    </r>
    <r>
      <rPr>
        <rFont val="Arial"/>
        <color theme="1"/>
        <sz val="10.0"/>
        <vertAlign val="superscript"/>
      </rPr>
      <t>3</t>
    </r>
    <r>
      <rPr>
        <rFont val="Arial"/>
        <color theme="1"/>
        <sz val="10.0"/>
      </rPr>
      <t xml:space="preserve"> (lb</t>
    </r>
    <r>
      <rPr>
        <rFont val="Arial"/>
        <i/>
        <color theme="1"/>
        <sz val="10.0"/>
      </rPr>
      <t>f/</t>
    </r>
    <r>
      <rPr>
        <rFont val="Arial"/>
        <color theme="1"/>
        <sz val="10.0"/>
      </rPr>
      <t>in</t>
    </r>
    <r>
      <rPr>
        <rFont val="Arial"/>
        <color theme="1"/>
        <sz val="10.0"/>
        <vertAlign val="superscript"/>
      </rPr>
      <t>3</t>
    </r>
    <r>
      <rPr>
        <rFont val="Arial"/>
        <color theme="1"/>
        <sz val="10.0"/>
      </rPr>
      <t>)</t>
    </r>
  </si>
  <si>
    <r>
      <rPr>
        <rFont val="Arial"/>
        <i/>
        <color theme="1"/>
        <sz val="10.0"/>
      </rPr>
      <t>N</t>
    </r>
    <r>
      <rPr>
        <rFont val="Arial"/>
        <i/>
        <color theme="1"/>
        <sz val="10.0"/>
        <vertAlign val="subscript"/>
      </rPr>
      <t>C</t>
    </r>
  </si>
  <si>
    <t>bearing capacity factor that accounts for cohesion in the general bearing capacity equation, dimensionless</t>
  </si>
  <si>
    <r>
      <rPr>
        <rFont val="Arial"/>
        <i/>
        <color theme="1"/>
        <sz val="10.0"/>
      </rPr>
      <t>N</t>
    </r>
    <r>
      <rPr>
        <rFont val="Arial"/>
        <i/>
        <color theme="1"/>
        <sz val="10.0"/>
        <vertAlign val="subscript"/>
      </rPr>
      <t>γ</t>
    </r>
  </si>
  <si>
    <t>bearing capacity factor that accounts for soil unit weight in the general bearing capacity equation, dimensionless</t>
  </si>
  <si>
    <r>
      <rPr>
        <rFont val="Arial"/>
        <i/>
        <color theme="1"/>
        <sz val="10.0"/>
      </rPr>
      <t>N</t>
    </r>
    <r>
      <rPr>
        <rFont val="Arial"/>
        <i/>
        <color theme="1"/>
        <sz val="10.0"/>
        <vertAlign val="subscript"/>
      </rPr>
      <t>q</t>
    </r>
  </si>
  <si>
    <t>bearing capacity factor that accounts for surcharge pressures in the general bearing capacity equation, dimensionless</t>
  </si>
  <si>
    <r>
      <rPr>
        <rFont val="Arial"/>
        <i/>
        <color theme="1"/>
        <sz val="10.0"/>
      </rPr>
      <t>N</t>
    </r>
    <r>
      <rPr>
        <rFont val="Arial"/>
        <i/>
        <color theme="1"/>
        <sz val="10.0"/>
        <vertAlign val="subscript"/>
      </rPr>
      <t>SPT</t>
    </r>
  </si>
  <si>
    <t>SPT blow count as recorded during test, Blows per 300 mm (Blows per 12 in.)</t>
  </si>
  <si>
    <r>
      <rPr>
        <rFont val="Arial"/>
        <i/>
        <color theme="1"/>
        <sz val="10.0"/>
      </rPr>
      <t>N</t>
    </r>
    <r>
      <rPr>
        <rFont val="Arial"/>
        <i/>
        <color theme="1"/>
        <sz val="10.0"/>
        <vertAlign val="subscript"/>
      </rPr>
      <t>60</t>
    </r>
  </si>
  <si>
    <r>
      <rPr>
        <rFont val="Arial"/>
        <i/>
        <color theme="1"/>
        <sz val="10.0"/>
      </rPr>
      <t>N</t>
    </r>
    <r>
      <rPr>
        <rFont val="Arial"/>
        <i/>
        <color theme="1"/>
        <sz val="10.0"/>
        <vertAlign val="subscript"/>
      </rPr>
      <t>SPT</t>
    </r>
    <r>
      <rPr>
        <rFont val="Arial"/>
        <i val="0"/>
        <color theme="1"/>
        <sz val="10.0"/>
      </rPr>
      <t xml:space="preserve"> blow count corrected for field procedures and equipment, Blows per 300 mm (Blows per 12 in.)</t>
    </r>
  </si>
  <si>
    <r>
      <rPr>
        <rFont val="Arial"/>
        <i/>
        <color theme="1"/>
        <sz val="10.0"/>
      </rPr>
      <t>(N</t>
    </r>
    <r>
      <rPr>
        <rFont val="Arial"/>
        <i/>
        <color theme="1"/>
        <sz val="10.0"/>
        <vertAlign val="subscript"/>
      </rPr>
      <t>1</t>
    </r>
    <r>
      <rPr>
        <rFont val="Arial"/>
        <i/>
        <color theme="1"/>
        <sz val="10.0"/>
      </rPr>
      <t>)</t>
    </r>
    <r>
      <rPr>
        <rFont val="Arial"/>
        <i/>
        <color theme="1"/>
        <sz val="10.0"/>
        <vertAlign val="subscript"/>
      </rPr>
      <t>60</t>
    </r>
  </si>
  <si>
    <r>
      <rPr>
        <rFont val="Arial"/>
        <i/>
        <color theme="1"/>
        <sz val="10.0"/>
      </rPr>
      <t>N</t>
    </r>
    <r>
      <rPr>
        <rFont val="Arial"/>
        <i/>
        <color theme="1"/>
        <sz val="10.0"/>
        <vertAlign val="subscript"/>
      </rPr>
      <t>60</t>
    </r>
    <r>
      <rPr>
        <rFont val="Arial"/>
        <i val="0"/>
        <color theme="1"/>
        <sz val="10.0"/>
      </rPr>
      <t xml:space="preserve"> blow count normalized with respect to vertical effective stress, Blows per 300 mm (Blows per 12 in.)</t>
    </r>
  </si>
  <si>
    <t>p</t>
  </si>
  <si>
    <r>
      <rPr>
        <rFont val="Arial"/>
        <color theme="1"/>
        <sz val="10.0"/>
      </rPr>
      <t>lateral soil resistance,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</si>
  <si>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p</t>
    </r>
    <r>
      <rPr>
        <rFont val="Arial"/>
        <i/>
        <color theme="1"/>
        <sz val="10.0"/>
        <vertAlign val="subscript"/>
      </rPr>
      <t>A</t>
    </r>
  </si>
  <si>
    <r>
      <rPr>
        <rFont val="Arial"/>
        <color theme="1"/>
        <sz val="10.0"/>
      </rPr>
      <t>atmospheric pressure, 100 kPa (2090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</si>
  <si>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p</t>
    </r>
    <r>
      <rPr>
        <rFont val="Arial"/>
        <i/>
        <color theme="1"/>
        <sz val="10.0"/>
        <vertAlign val="subscript"/>
      </rPr>
      <t>L</t>
    </r>
  </si>
  <si>
    <r>
      <rPr>
        <rFont val="Arial"/>
        <color theme="1"/>
        <sz val="10.0"/>
      </rPr>
      <t>limit pressure from a prebored pressuremeter,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</si>
  <si>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p</t>
    </r>
    <r>
      <rPr>
        <rFont val="Arial"/>
        <i/>
        <color theme="1"/>
        <sz val="10.0"/>
        <vertAlign val="subscript"/>
      </rPr>
      <t>U</t>
    </r>
  </si>
  <si>
    <r>
      <rPr>
        <rFont val="Arial"/>
        <color theme="1"/>
        <sz val="10.0"/>
      </rPr>
      <t>ultimate lateral soil resistance,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</si>
  <si>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p</t>
    </r>
    <r>
      <rPr>
        <rFont val="Arial"/>
        <i/>
        <color theme="1"/>
        <sz val="10.0"/>
        <vertAlign val="subscript"/>
      </rPr>
      <t>U,z</t>
    </r>
  </si>
  <si>
    <r>
      <rPr>
        <rFont val="Arial"/>
        <color theme="1"/>
        <sz val="10.0"/>
      </rPr>
      <t xml:space="preserve">ultimate lateral soil resistance at depth </t>
    </r>
    <r>
      <rPr>
        <rFont val="Arial"/>
        <i/>
        <color theme="1"/>
        <sz val="10.0"/>
      </rPr>
      <t>z</t>
    </r>
    <r>
      <rPr>
        <rFont val="Arial"/>
        <color theme="1"/>
        <sz val="10.0"/>
      </rPr>
      <t>,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</si>
  <si>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p</t>
    </r>
    <r>
      <rPr>
        <rFont val="Arial"/>
        <i/>
        <color theme="1"/>
        <sz val="10.0"/>
        <vertAlign val="subscript"/>
      </rPr>
      <t>z</t>
    </r>
  </si>
  <si>
    <r>
      <rPr>
        <rFont val="Arial"/>
        <color theme="1"/>
        <sz val="10.0"/>
      </rPr>
      <t xml:space="preserve">lateral soil resistance at a depth </t>
    </r>
    <r>
      <rPr>
        <rFont val="Arial"/>
        <i/>
        <color theme="1"/>
        <sz val="10.0"/>
      </rPr>
      <t>z</t>
    </r>
    <r>
      <rPr>
        <rFont val="Arial"/>
        <color theme="1"/>
        <sz val="10.0"/>
      </rPr>
      <t>, kPa (lbf</t>
    </r>
    <r>
      <rPr>
        <rFont val="Arial"/>
        <i/>
        <color theme="1"/>
        <sz val="10.0"/>
      </rPr>
      <t>/</t>
    </r>
    <r>
      <rPr>
        <rFont val="Arial"/>
        <color theme="1"/>
        <sz val="10.0"/>
      </rPr>
      <t>in</t>
    </r>
    <r>
      <rPr>
        <rFont val="Arial"/>
        <color theme="1"/>
        <sz val="10.0"/>
        <vertAlign val="superscript"/>
      </rPr>
      <t>2</t>
    </r>
    <r>
      <rPr>
        <rFont val="Arial"/>
        <color theme="1"/>
        <sz val="10.0"/>
      </rPr>
      <t>)</t>
    </r>
  </si>
  <si>
    <t>P</t>
  </si>
  <si>
    <t>axial load in post/pier, kN (lbf)</t>
  </si>
  <si>
    <r>
      <rPr>
        <rFont val="Arial"/>
        <i/>
        <color theme="1"/>
        <sz val="10.0"/>
      </rPr>
      <t>P</t>
    </r>
    <r>
      <rPr>
        <rFont val="Arial"/>
        <i/>
        <color theme="1"/>
        <sz val="10.0"/>
        <vertAlign val="subscript"/>
      </rPr>
      <t>LRFD</t>
    </r>
  </si>
  <si>
    <r>
      <rPr>
        <rFont val="Arial"/>
        <i/>
        <color theme="1"/>
        <sz val="10.0"/>
      </rPr>
      <t>P</t>
    </r>
    <r>
      <rPr>
        <rFont val="Arial"/>
        <i val="0"/>
        <color theme="1"/>
        <sz val="10.0"/>
      </rPr>
      <t xml:space="preserve"> due to a load and resistance factor load combination, kN (lbf)</t>
    </r>
  </si>
  <si>
    <r>
      <rPr>
        <rFont val="Arial"/>
        <i/>
        <color theme="1"/>
        <sz val="10.0"/>
      </rPr>
      <t>P</t>
    </r>
    <r>
      <rPr>
        <rFont val="Arial"/>
        <i/>
        <color theme="1"/>
        <sz val="10.0"/>
        <vertAlign val="subscript"/>
      </rPr>
      <t>ASD</t>
    </r>
  </si>
  <si>
    <r>
      <rPr>
        <rFont val="Arial"/>
        <i/>
        <color theme="1"/>
        <sz val="10.0"/>
      </rPr>
      <t>P</t>
    </r>
    <r>
      <rPr>
        <rFont val="Arial"/>
        <i val="0"/>
        <color theme="1"/>
        <sz val="10.0"/>
      </rPr>
      <t xml:space="preserve"> due to an allowable stress design load combination, kN (lbf)</t>
    </r>
  </si>
  <si>
    <r>
      <rPr>
        <rFont val="Arial"/>
        <i/>
        <color theme="1"/>
        <sz val="10.0"/>
      </rPr>
      <t>q</t>
    </r>
    <r>
      <rPr>
        <rFont val="Arial"/>
        <i/>
        <color theme="1"/>
        <sz val="10.0"/>
        <vertAlign val="subscript"/>
      </rPr>
      <t>B</t>
    </r>
  </si>
  <si>
    <r>
      <rPr>
        <rFont val="Arial"/>
        <color theme="1"/>
        <sz val="10.0"/>
      </rPr>
      <t>ultimate soil bearing capacity, kPa (lbf</t>
    </r>
    <r>
      <rPr>
        <rFont val="Arial"/>
        <i/>
        <color theme="1"/>
        <sz val="10.0"/>
      </rPr>
      <t>/</t>
    </r>
    <r>
      <rPr>
        <rFont val="Arial"/>
        <color theme="1"/>
        <sz val="10.0"/>
      </rPr>
      <t xml:space="preserve"> in</t>
    </r>
    <r>
      <rPr>
        <rFont val="Arial"/>
        <color theme="1"/>
        <sz val="10.0"/>
        <vertAlign val="superscript"/>
      </rPr>
      <t>2</t>
    </r>
    <r>
      <rPr>
        <rFont val="Arial"/>
        <color theme="1"/>
        <sz val="10.0"/>
      </rPr>
      <t>)</t>
    </r>
  </si>
  <si>
    <r>
      <rPr>
        <rFont val="Arial"/>
        <i/>
        <color theme="1"/>
        <sz val="10.0"/>
      </rPr>
      <t>q</t>
    </r>
    <r>
      <rPr>
        <rFont val="Arial"/>
        <i/>
        <color theme="1"/>
        <sz val="10.0"/>
        <vertAlign val="subscript"/>
      </rPr>
      <t>cr</t>
    </r>
  </si>
  <si>
    <r>
      <rPr>
        <rFont val="Arial"/>
        <color theme="1"/>
        <sz val="10.0"/>
      </rPr>
      <t>average cone penetration resistance measured over a specified depth during a CPT test. Cone penetration resistance is equal to the vertical force applied to the cone divided by its horizontally projected area,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</si>
  <si>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q</t>
    </r>
    <r>
      <rPr>
        <rFont val="Arial"/>
        <i/>
        <color theme="1"/>
        <sz val="10.0"/>
        <vertAlign val="subscript"/>
      </rPr>
      <t>0</t>
    </r>
  </si>
  <si>
    <r>
      <rPr>
        <rFont val="Arial"/>
        <color theme="1"/>
        <sz val="10.0"/>
      </rPr>
      <t xml:space="preserve">total overburden pressure at footing depth </t>
    </r>
    <r>
      <rPr>
        <rFont val="Arial"/>
        <i/>
        <color theme="1"/>
        <sz val="10.0"/>
      </rPr>
      <t>d</t>
    </r>
    <r>
      <rPr>
        <rFont val="Arial"/>
        <i/>
        <color theme="1"/>
        <sz val="10.0"/>
        <vertAlign val="subscript"/>
      </rPr>
      <t>F</t>
    </r>
    <r>
      <rPr>
        <rFont val="Arial"/>
        <color theme="1"/>
        <sz val="10.0"/>
      </rPr>
      <t>, kPa (lbf</t>
    </r>
    <r>
      <rPr>
        <rFont val="Arial"/>
        <i/>
        <color theme="1"/>
        <sz val="10.0"/>
      </rPr>
      <t>/</t>
    </r>
    <r>
      <rPr>
        <rFont val="Arial"/>
        <color theme="1"/>
        <sz val="10.0"/>
      </rPr>
      <t>in</t>
    </r>
    <r>
      <rPr>
        <rFont val="Arial"/>
        <color theme="1"/>
        <sz val="10.0"/>
        <vertAlign val="superscript"/>
      </rPr>
      <t>2</t>
    </r>
    <r>
      <rPr>
        <rFont val="Arial"/>
        <color theme="1"/>
        <sz val="10.0"/>
      </rPr>
      <t>)</t>
    </r>
  </si>
  <si>
    <t>r</t>
  </si>
  <si>
    <t>radius of uplift resisting system (e.g. concrete collar), m (in)</t>
  </si>
  <si>
    <r>
      <rPr>
        <rFont val="Arial"/>
        <i/>
        <color theme="1"/>
        <sz val="10.0"/>
      </rPr>
      <t>R</t>
    </r>
    <r>
      <rPr>
        <rFont val="Arial"/>
        <i/>
        <color theme="1"/>
        <sz val="10.0"/>
        <vertAlign val="subscript"/>
      </rPr>
      <t>B</t>
    </r>
  </si>
  <si>
    <t>LRFD resistance factor for bearing strength assessment, dimensionless</t>
  </si>
  <si>
    <r>
      <rPr>
        <rFont val="Arial"/>
        <i/>
        <color theme="1"/>
        <sz val="10.0"/>
      </rPr>
      <t>R</t>
    </r>
    <r>
      <rPr>
        <rFont val="Arial"/>
        <i/>
        <color theme="1"/>
        <sz val="10.0"/>
        <vertAlign val="subscript"/>
      </rPr>
      <t>L</t>
    </r>
  </si>
  <si>
    <t>LRFD resistance factor for lateral strength assessment, dimensionless</t>
  </si>
  <si>
    <r>
      <rPr>
        <rFont val="Arial"/>
        <i/>
        <color theme="1"/>
        <sz val="10.0"/>
      </rPr>
      <t>R</t>
    </r>
    <r>
      <rPr>
        <rFont val="Arial"/>
        <i/>
        <color theme="1"/>
        <sz val="10.0"/>
        <vertAlign val="subscript"/>
      </rPr>
      <t>U</t>
    </r>
  </si>
  <si>
    <t>LRFD resistance factor for uplift strength assessment, dimensionless</t>
  </si>
  <si>
    <r>
      <rPr>
        <rFont val="Arial"/>
        <i/>
        <color theme="1"/>
        <sz val="10.0"/>
      </rPr>
      <t>s</t>
    </r>
    <r>
      <rPr>
        <rFont val="Arial"/>
        <i/>
        <color theme="1"/>
        <sz val="10.0"/>
        <vertAlign val="subscript"/>
      </rPr>
      <t>c</t>
    </r>
  </si>
  <si>
    <t>shape factor for ultimate bearing strength of a cohesive soil based on the general bearing capacity equation, dimensionless</t>
  </si>
  <si>
    <r>
      <rPr>
        <rFont val="Arial"/>
        <i/>
        <color theme="1"/>
        <sz val="10.0"/>
      </rPr>
      <t>s</t>
    </r>
    <r>
      <rPr>
        <rFont val="Arial"/>
        <i/>
        <color theme="1"/>
        <sz val="10.0"/>
        <vertAlign val="subscript"/>
      </rPr>
      <t>q</t>
    </r>
  </si>
  <si>
    <t>shape factor for ultimate bearing strength of a cohesionless soil based on the general bearing capacity equation, dimensionless</t>
  </si>
  <si>
    <r>
      <rPr>
        <rFont val="Arial"/>
        <i/>
        <color theme="1"/>
        <sz val="10.0"/>
      </rPr>
      <t>s</t>
    </r>
    <r>
      <rPr>
        <rFont val="Arial"/>
        <i/>
        <color theme="1"/>
        <sz val="10.0"/>
        <vertAlign val="subscript"/>
      </rPr>
      <t>γ</t>
    </r>
  </si>
  <si>
    <r>
      <rPr>
        <rFont val="Arial"/>
        <i/>
        <color theme="1"/>
        <sz val="10.0"/>
      </rPr>
      <t>s</t>
    </r>
    <r>
      <rPr>
        <rFont val="Arial"/>
        <i/>
        <color theme="1"/>
        <sz val="10.0"/>
        <vertAlign val="subscript"/>
      </rPr>
      <t>F</t>
    </r>
  </si>
  <si>
    <t>shape factor for uplift resistance in cohesionless soils, dimensionless</t>
  </si>
  <si>
    <r>
      <rPr>
        <rFont val="Arial"/>
        <i/>
        <color theme="1"/>
        <sz val="10.0"/>
      </rPr>
      <t>S</t>
    </r>
    <r>
      <rPr>
        <rFont val="Arial"/>
        <i/>
        <color theme="1"/>
        <sz val="10.0"/>
        <vertAlign val="subscript"/>
      </rPr>
      <t>LU</t>
    </r>
  </si>
  <si>
    <r>
      <rPr>
        <rFont val="Arial"/>
        <color theme="1"/>
        <sz val="10.0"/>
      </rPr>
      <t>increase per unit depth in the ultimate lateral force per unit depth that is applied to a foundation by a cohesionless soil,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</si>
  <si>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S</t>
    </r>
    <r>
      <rPr>
        <rFont val="Arial"/>
        <i/>
        <color theme="1"/>
        <sz val="10.0"/>
        <vertAlign val="subscript"/>
      </rPr>
      <t>u</t>
    </r>
  </si>
  <si>
    <r>
      <rPr>
        <rFont val="Arial"/>
        <color theme="1"/>
        <sz val="10.0"/>
      </rPr>
      <t>undrained shear strength, kPa (lbf</t>
    </r>
    <r>
      <rPr>
        <rFont val="Arial"/>
        <i/>
        <color theme="1"/>
        <sz val="10.0"/>
      </rPr>
      <t>/</t>
    </r>
    <r>
      <rPr>
        <rFont val="Arial"/>
        <color theme="1"/>
        <sz val="10.0"/>
      </rPr>
      <t>in</t>
    </r>
    <r>
      <rPr>
        <rFont val="Arial"/>
        <color theme="1"/>
        <sz val="10.0"/>
        <vertAlign val="superscript"/>
      </rPr>
      <t>2</t>
    </r>
    <r>
      <rPr>
        <rFont val="Arial"/>
        <color theme="1"/>
        <sz val="10.0"/>
      </rPr>
      <t xml:space="preserve">). Numerically equal to cohesion, </t>
    </r>
    <r>
      <rPr>
        <rFont val="Arial"/>
        <i/>
        <color theme="1"/>
        <sz val="10.0"/>
      </rPr>
      <t>c,</t>
    </r>
    <r>
      <rPr>
        <rFont val="Arial"/>
        <color theme="1"/>
        <sz val="10.0"/>
      </rPr>
      <t xml:space="preserve"> for a saturated clay soil</t>
    </r>
  </si>
  <si>
    <t>t</t>
  </si>
  <si>
    <r>
      <rPr>
        <rFont val="Arial"/>
        <color theme="1"/>
        <sz val="10.0"/>
      </rPr>
      <t xml:space="preserve">thickness of a soil layer that is represented with a soil spring with stiffness </t>
    </r>
    <r>
      <rPr>
        <rFont val="Arial"/>
        <i/>
        <color theme="1"/>
        <sz val="10.0"/>
      </rPr>
      <t>K</t>
    </r>
    <r>
      <rPr>
        <rFont val="Arial"/>
        <i/>
        <color theme="1"/>
        <sz val="10.0"/>
        <vertAlign val="subscript"/>
      </rPr>
      <t>S</t>
    </r>
    <r>
      <rPr>
        <rFont val="Arial"/>
        <color theme="1"/>
        <sz val="10.0"/>
      </rPr>
      <t>, m (in)</t>
    </r>
  </si>
  <si>
    <r>
      <rPr>
        <rFont val="Arial"/>
        <i/>
        <color theme="1"/>
        <sz val="10.0"/>
      </rPr>
      <t>u</t>
    </r>
    <r>
      <rPr>
        <rFont val="Arial"/>
        <i/>
        <color theme="1"/>
        <sz val="10.0"/>
        <vertAlign val="subscript"/>
      </rPr>
      <t>z</t>
    </r>
  </si>
  <si>
    <r>
      <rPr>
        <rFont val="Arial"/>
        <color theme="1"/>
        <sz val="10.0"/>
      </rPr>
      <t>pore water pressure at depth</t>
    </r>
    <r>
      <rPr>
        <rFont val="Arial"/>
        <i/>
        <color theme="1"/>
        <sz val="10.0"/>
      </rPr>
      <t xml:space="preserve"> z, </t>
    </r>
    <r>
      <rPr>
        <rFont val="Arial"/>
        <color theme="1"/>
        <sz val="10.0"/>
      </rPr>
      <t>kPa (lbf</t>
    </r>
    <r>
      <rPr>
        <rFont val="Arial"/>
        <i/>
        <color theme="1"/>
        <sz val="10.0"/>
      </rPr>
      <t>/</t>
    </r>
    <r>
      <rPr>
        <rFont val="Arial"/>
        <color theme="1"/>
        <sz val="10.0"/>
      </rPr>
      <t>in</t>
    </r>
    <r>
      <rPr>
        <rFont val="Arial"/>
        <color theme="1"/>
        <sz val="10.0"/>
        <vertAlign val="superscript"/>
      </rPr>
      <t>2</t>
    </r>
    <r>
      <rPr>
        <rFont val="Arial"/>
        <color theme="1"/>
        <sz val="10.0"/>
      </rPr>
      <t>)</t>
    </r>
  </si>
  <si>
    <t>U</t>
  </si>
  <si>
    <t>ultimate uplift resistance due to soil mass, kN (lbf)</t>
  </si>
  <si>
    <t>V</t>
  </si>
  <si>
    <t>shear force in post/pier, kN (lbf)</t>
  </si>
  <si>
    <r>
      <rPr>
        <rFont val="Arial"/>
        <i/>
        <color theme="1"/>
        <sz val="10.0"/>
      </rPr>
      <t>V</t>
    </r>
    <r>
      <rPr>
        <rFont val="Arial"/>
        <i/>
        <color theme="1"/>
        <sz val="10.0"/>
        <vertAlign val="subscript"/>
      </rPr>
      <t>G</t>
    </r>
  </si>
  <si>
    <r>
      <rPr>
        <rFont val="Arial"/>
        <i/>
        <color theme="1"/>
        <sz val="10.0"/>
      </rPr>
      <t>V</t>
    </r>
    <r>
      <rPr>
        <rFont val="Arial"/>
        <i val="0"/>
        <color theme="1"/>
        <sz val="10.0"/>
      </rPr>
      <t xml:space="preserve"> at the ground surface (at grade), kN (lbf)</t>
    </r>
  </si>
  <si>
    <r>
      <rPr>
        <rFont val="Arial"/>
        <i/>
        <color theme="1"/>
        <sz val="10.0"/>
      </rPr>
      <t>V</t>
    </r>
    <r>
      <rPr>
        <rFont val="Arial"/>
        <i/>
        <color theme="1"/>
        <sz val="10.0"/>
        <vertAlign val="subscript"/>
      </rPr>
      <t>ASD</t>
    </r>
  </si>
  <si>
    <r>
      <rPr>
        <rFont val="Arial"/>
        <i/>
        <color theme="1"/>
        <sz val="10.0"/>
      </rPr>
      <t>V</t>
    </r>
    <r>
      <rPr>
        <rFont val="Arial"/>
        <i/>
        <color theme="1"/>
        <sz val="10.0"/>
        <vertAlign val="subscript"/>
      </rPr>
      <t>G</t>
    </r>
    <r>
      <rPr>
        <rFont val="Arial"/>
        <i val="0"/>
        <color theme="1"/>
        <sz val="10.0"/>
      </rPr>
      <t xml:space="preserve"> due to a ASD load combination, kN (lbf)</t>
    </r>
  </si>
  <si>
    <r>
      <rPr>
        <rFont val="Arial"/>
        <i/>
        <color theme="1"/>
        <sz val="10.0"/>
      </rPr>
      <t>V</t>
    </r>
    <r>
      <rPr>
        <rFont val="Arial"/>
        <i/>
        <color theme="1"/>
        <sz val="10.0"/>
        <vertAlign val="subscript"/>
      </rPr>
      <t>LRFD</t>
    </r>
  </si>
  <si>
    <r>
      <rPr>
        <rFont val="Arial"/>
        <i/>
        <color theme="1"/>
        <sz val="10.0"/>
      </rPr>
      <t>V</t>
    </r>
    <r>
      <rPr>
        <rFont val="Arial"/>
        <i/>
        <color theme="1"/>
        <sz val="10.0"/>
        <vertAlign val="subscript"/>
      </rPr>
      <t>G</t>
    </r>
    <r>
      <rPr>
        <rFont val="Arial"/>
        <i val="0"/>
        <color theme="1"/>
        <sz val="10.0"/>
      </rPr>
      <t xml:space="preserve"> due to a LRFD load combination, kN (lbf)</t>
    </r>
  </si>
  <si>
    <r>
      <rPr>
        <rFont val="Arial"/>
        <i/>
        <color theme="1"/>
        <sz val="10.0"/>
      </rPr>
      <t>V</t>
    </r>
    <r>
      <rPr>
        <rFont val="Arial"/>
        <i/>
        <color theme="1"/>
        <sz val="10.0"/>
        <vertAlign val="subscript"/>
      </rPr>
      <t>U</t>
    </r>
  </si>
  <si>
    <t>ultimate groundline shear capacity of the foundation as limited by soil strength, kN (lbf)</t>
  </si>
  <si>
    <t>y</t>
  </si>
  <si>
    <t>lateral deflection of post/pier, m (in)</t>
  </si>
  <si>
    <t>w</t>
  </si>
  <si>
    <r>
      <rPr>
        <rFont val="Arial"/>
        <color theme="1"/>
        <sz val="10.0"/>
      </rPr>
      <t>dimension of a post/pier measured parallel to the direction of applied lateral load. Equal to width</t>
    </r>
    <r>
      <rPr>
        <rFont val="Arial"/>
        <i/>
        <color theme="1"/>
        <sz val="10.0"/>
      </rPr>
      <t xml:space="preserve"> b</t>
    </r>
    <r>
      <rPr>
        <rFont val="Arial"/>
        <color theme="1"/>
        <sz val="10.0"/>
      </rPr>
      <t xml:space="preserve"> for a round pier</t>
    </r>
    <r>
      <rPr>
        <rFont val="Arial"/>
        <i/>
        <color theme="1"/>
        <sz val="10.0"/>
      </rPr>
      <t>/</t>
    </r>
    <r>
      <rPr>
        <rFont val="Arial"/>
        <color theme="1"/>
        <sz val="10.0"/>
      </rPr>
      <t>pole; m (in)</t>
    </r>
  </si>
  <si>
    <t>z</t>
  </si>
  <si>
    <t>depth below the ground surface, m, (in)</t>
  </si>
  <si>
    <r>
      <rPr>
        <rFont val="Arial"/>
        <color theme="1"/>
        <sz val="10.0"/>
      </rPr>
      <t xml:space="preserve">moist unit weight of soil = </t>
    </r>
    <r>
      <rPr>
        <rFont val="Arial"/>
        <i/>
        <color theme="1"/>
        <sz val="10.0"/>
      </rPr>
      <t>ρ g</t>
    </r>
    <r>
      <rPr>
        <rFont val="Arial"/>
        <color theme="1"/>
        <sz val="10.0"/>
      </rPr>
      <t>,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 xml:space="preserve"> in</t>
    </r>
    <r>
      <rPr>
        <rFont val="Arial"/>
        <color theme="1"/>
        <sz val="10.0"/>
        <vertAlign val="superscript"/>
      </rPr>
      <t>3</t>
    </r>
    <r>
      <rPr>
        <rFont val="Arial"/>
        <color theme="1"/>
        <sz val="10.0"/>
      </rPr>
      <t>)</t>
    </r>
  </si>
  <si>
    <r>
      <rPr>
        <rFont val="Noto Sans Symbols"/>
        <i/>
        <color theme="1"/>
        <sz val="10.0"/>
      </rPr>
      <t>g</t>
    </r>
    <r>
      <rPr>
        <rFont val="Arial"/>
        <i/>
        <color theme="1"/>
        <sz val="10.0"/>
        <vertAlign val="subscript"/>
      </rPr>
      <t>D</t>
    </r>
  </si>
  <si>
    <r>
      <rPr>
        <rFont val="Arial"/>
        <color theme="1"/>
        <sz val="10.0"/>
      </rPr>
      <t xml:space="preserve">dry unit weight of soil = </t>
    </r>
    <r>
      <rPr>
        <rFont val="Arial"/>
        <i/>
        <color theme="1"/>
        <sz val="10.0"/>
      </rPr>
      <t>ρ</t>
    </r>
    <r>
      <rPr>
        <rFont val="Arial"/>
        <i/>
        <color theme="1"/>
        <sz val="10.0"/>
        <vertAlign val="subscript"/>
      </rPr>
      <t xml:space="preserve">D </t>
    </r>
    <r>
      <rPr>
        <rFont val="Arial"/>
        <i/>
        <color theme="1"/>
        <sz val="10.0"/>
      </rPr>
      <t>g</t>
    </r>
    <r>
      <rPr>
        <rFont val="Arial"/>
        <color theme="1"/>
        <sz val="10.0"/>
      </rPr>
      <t>, kN</t>
    </r>
    <r>
      <rPr>
        <rFont val="Arial"/>
        <i/>
        <color theme="1"/>
        <sz val="10.0"/>
      </rPr>
      <t>/</t>
    </r>
    <r>
      <rPr>
        <rFont val="Arial"/>
        <color theme="1"/>
        <sz val="10.0"/>
      </rPr>
      <t>m</t>
    </r>
    <r>
      <rPr>
        <rFont val="Arial"/>
        <color theme="1"/>
        <sz val="10.0"/>
        <vertAlign val="superscript"/>
      </rPr>
      <t>3</t>
    </r>
    <r>
      <rPr>
        <rFont val="Arial"/>
        <color theme="1"/>
        <sz val="10.0"/>
      </rPr>
      <t xml:space="preserve"> (lbf</t>
    </r>
    <r>
      <rPr>
        <rFont val="Arial"/>
        <i/>
        <color theme="1"/>
        <sz val="10.0"/>
      </rPr>
      <t>/</t>
    </r>
    <r>
      <rPr>
        <rFont val="Arial"/>
        <color theme="1"/>
        <sz val="10.0"/>
      </rPr>
      <t xml:space="preserve"> in</t>
    </r>
    <r>
      <rPr>
        <rFont val="Arial"/>
        <color theme="1"/>
        <sz val="10.0"/>
        <vertAlign val="superscript"/>
      </rPr>
      <t>3</t>
    </r>
    <r>
      <rPr>
        <rFont val="Arial"/>
        <color theme="1"/>
        <sz val="10.0"/>
      </rPr>
      <t>)</t>
    </r>
  </si>
  <si>
    <t>D</t>
  </si>
  <si>
    <t>lateral deflection of post/pier at ground surface, m (in)</t>
  </si>
  <si>
    <t>ε</t>
  </si>
  <si>
    <r>
      <rPr>
        <rFont val="Arial"/>
        <color theme="1"/>
        <sz val="10.0"/>
      </rPr>
      <t>strain, mm/mm (in</t>
    </r>
    <r>
      <rPr>
        <rFont val="Arial"/>
        <color theme="1"/>
        <sz val="10.0"/>
        <vertAlign val="subscript"/>
      </rPr>
      <t xml:space="preserve"> </t>
    </r>
    <r>
      <rPr>
        <rFont val="Arial"/>
        <i/>
        <color theme="1"/>
        <sz val="10.0"/>
      </rPr>
      <t>/</t>
    </r>
    <r>
      <rPr>
        <rFont val="Arial"/>
        <i/>
        <color theme="1"/>
        <sz val="10.0"/>
        <vertAlign val="subscript"/>
      </rPr>
      <t xml:space="preserve"> </t>
    </r>
    <r>
      <rPr>
        <rFont val="Arial"/>
        <color theme="1"/>
        <sz val="10.0"/>
      </rPr>
      <t>in)</t>
    </r>
  </si>
  <si>
    <t>q</t>
  </si>
  <si>
    <t>below grade rotation of post/pier with infinite flexural rigidity, radians</t>
  </si>
  <si>
    <t>ν</t>
  </si>
  <si>
    <t>Poisson’s ratio, dimensionless</t>
  </si>
  <si>
    <t>ρ</t>
  </si>
  <si>
    <r>
      <rPr>
        <rFont val="Arial"/>
        <color theme="1"/>
        <sz val="10.0"/>
      </rPr>
      <t>moist bulk density of soil, kg</t>
    </r>
    <r>
      <rPr>
        <rFont val="Arial"/>
        <i/>
        <color theme="1"/>
        <sz val="10.0"/>
      </rPr>
      <t>/</t>
    </r>
    <r>
      <rPr>
        <rFont val="Arial"/>
        <color theme="1"/>
        <sz val="10.0"/>
      </rPr>
      <t>m</t>
    </r>
    <r>
      <rPr>
        <rFont val="Arial"/>
        <color theme="1"/>
        <sz val="10.0"/>
        <vertAlign val="superscript"/>
      </rPr>
      <t>3</t>
    </r>
    <r>
      <rPr>
        <rFont val="Arial"/>
        <color theme="1"/>
        <sz val="10.0"/>
      </rPr>
      <t xml:space="preserve"> (lbm</t>
    </r>
    <r>
      <rPr>
        <rFont val="Arial"/>
        <i/>
        <color theme="1"/>
        <sz val="10.0"/>
      </rPr>
      <t>/</t>
    </r>
    <r>
      <rPr>
        <rFont val="Arial"/>
        <color theme="1"/>
        <sz val="10.0"/>
      </rPr>
      <t>in</t>
    </r>
    <r>
      <rPr>
        <rFont val="Arial"/>
        <color theme="1"/>
        <sz val="10.0"/>
        <vertAlign val="superscript"/>
      </rPr>
      <t>3</t>
    </r>
    <r>
      <rPr>
        <rFont val="Arial"/>
        <color theme="1"/>
        <sz val="10.0"/>
      </rPr>
      <t>)</t>
    </r>
  </si>
  <si>
    <r>
      <rPr>
        <rFont val="Arial"/>
        <i/>
        <color theme="1"/>
        <sz val="10.0"/>
      </rPr>
      <t>ρ</t>
    </r>
    <r>
      <rPr>
        <rFont val="Arial"/>
        <i/>
        <color theme="1"/>
        <sz val="10.0"/>
        <vertAlign val="subscript"/>
      </rPr>
      <t>D</t>
    </r>
  </si>
  <si>
    <r>
      <rPr>
        <rFont val="Arial"/>
        <color theme="1"/>
        <sz val="10.0"/>
      </rPr>
      <t>dry bulk density of soil, kg</t>
    </r>
    <r>
      <rPr>
        <rFont val="Arial"/>
        <i/>
        <color theme="1"/>
        <sz val="10.0"/>
      </rPr>
      <t>/</t>
    </r>
    <r>
      <rPr>
        <rFont val="Arial"/>
        <color theme="1"/>
        <sz val="10.0"/>
      </rPr>
      <t>m</t>
    </r>
    <r>
      <rPr>
        <rFont val="Arial"/>
        <color theme="1"/>
        <sz val="10.0"/>
        <vertAlign val="superscript"/>
      </rPr>
      <t>3</t>
    </r>
    <r>
      <rPr>
        <rFont val="Arial"/>
        <color theme="1"/>
        <sz val="10.0"/>
      </rPr>
      <t xml:space="preserve"> (lbm</t>
    </r>
    <r>
      <rPr>
        <rFont val="Arial"/>
        <i/>
        <color theme="1"/>
        <sz val="10.0"/>
      </rPr>
      <t>/</t>
    </r>
    <r>
      <rPr>
        <rFont val="Arial"/>
        <color theme="1"/>
        <sz val="10.0"/>
      </rPr>
      <t>in</t>
    </r>
    <r>
      <rPr>
        <rFont val="Arial"/>
        <color theme="1"/>
        <sz val="10.0"/>
        <vertAlign val="superscript"/>
      </rPr>
      <t>3</t>
    </r>
    <r>
      <rPr>
        <rFont val="Arial"/>
        <color theme="1"/>
        <sz val="10.0"/>
      </rPr>
      <t>)</t>
    </r>
  </si>
  <si>
    <t>σ</t>
  </si>
  <si>
    <r>
      <rPr>
        <rFont val="Arial"/>
        <color theme="1"/>
        <sz val="10.0"/>
      </rPr>
      <t>stress,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</si>
  <si>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σ</t>
    </r>
    <r>
      <rPr>
        <rFont val="Arial"/>
        <i/>
        <color theme="1"/>
        <sz val="10.0"/>
        <vertAlign val="subscript"/>
      </rPr>
      <t>v</t>
    </r>
  </si>
  <si>
    <r>
      <rPr>
        <rFont val="Arial"/>
        <color theme="1"/>
        <sz val="10.0"/>
      </rPr>
      <t>total vertical stress,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</si>
  <si>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σ</t>
    </r>
    <r>
      <rPr>
        <rFont val="Symbol"/>
        <i/>
        <color theme="1"/>
        <sz val="10.0"/>
      </rPr>
      <t>¢</t>
    </r>
    <r>
      <rPr>
        <rFont val="Arial"/>
        <i/>
        <color theme="1"/>
        <sz val="10.0"/>
        <vertAlign val="subscript"/>
      </rPr>
      <t>v</t>
    </r>
  </si>
  <si>
    <r>
      <rPr>
        <rFont val="Arial"/>
        <color theme="1"/>
        <sz val="10.0"/>
      </rPr>
      <t>effective vertical stress,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</si>
  <si>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σ</t>
    </r>
    <r>
      <rPr>
        <rFont val="Arial"/>
        <i/>
        <color theme="1"/>
        <sz val="10.0"/>
        <vertAlign val="subscript"/>
      </rPr>
      <t>0h</t>
    </r>
  </si>
  <si>
    <r>
      <rPr>
        <rFont val="Arial"/>
        <color theme="1"/>
        <sz val="10.0"/>
      </rPr>
      <t>total horizontal stress at rest, kPa (lbf</t>
    </r>
    <r>
      <rPr>
        <rFont val="Arial"/>
        <i/>
        <color theme="1"/>
        <sz val="10.0"/>
      </rPr>
      <t>/</t>
    </r>
    <r>
      <rPr>
        <rFont val="Arial"/>
        <color theme="1"/>
        <sz val="10.0"/>
      </rPr>
      <t>in</t>
    </r>
    <r>
      <rPr>
        <rFont val="Arial"/>
        <color theme="1"/>
        <sz val="10.0"/>
        <vertAlign val="superscript"/>
      </rPr>
      <t>2</t>
    </r>
    <r>
      <rPr>
        <rFont val="Arial"/>
        <color theme="1"/>
        <sz val="10.0"/>
      </rPr>
      <t>)</t>
    </r>
  </si>
  <si>
    <r>
      <rPr>
        <rFont val="Arial"/>
        <i/>
        <color theme="1"/>
        <sz val="10.0"/>
      </rPr>
      <t>σ</t>
    </r>
    <r>
      <rPr>
        <rFont val="Symbol"/>
        <i/>
        <color theme="1"/>
        <sz val="10.0"/>
      </rPr>
      <t>¢</t>
    </r>
    <r>
      <rPr>
        <rFont val="Arial"/>
        <i/>
        <color theme="1"/>
        <sz val="10.0"/>
        <vertAlign val="subscript"/>
      </rPr>
      <t>0h</t>
    </r>
  </si>
  <si>
    <r>
      <rPr>
        <rFont val="Arial"/>
        <color theme="1"/>
        <sz val="10.0"/>
      </rPr>
      <t>effective horizontal stress at rest, kPa (lbf</t>
    </r>
    <r>
      <rPr>
        <rFont val="Arial"/>
        <i/>
        <color theme="1"/>
        <sz val="10.0"/>
      </rPr>
      <t>/</t>
    </r>
    <r>
      <rPr>
        <rFont val="Arial"/>
        <color theme="1"/>
        <sz val="10.0"/>
      </rPr>
      <t>in</t>
    </r>
    <r>
      <rPr>
        <rFont val="Arial"/>
        <color theme="1"/>
        <sz val="10.0"/>
        <vertAlign val="superscript"/>
      </rPr>
      <t>2</t>
    </r>
    <r>
      <rPr>
        <rFont val="Arial"/>
        <color theme="1"/>
        <sz val="10.0"/>
      </rPr>
      <t>)</t>
    </r>
  </si>
  <si>
    <t>f</t>
  </si>
  <si>
    <t>effective friction angle of soil, degrees</t>
  </si>
  <si>
    <t xml:space="preserve"> Bearing Strength Assessment</t>
  </si>
  <si>
    <t>ASAE EP486.3 Table 2 - LRFD Resistance Factors and ASD Safety Factors for Bearing Strength Assessment</t>
  </si>
  <si>
    <t xml:space="preserve"> You must fill in all yellow colored cells in the table below</t>
  </si>
  <si>
    <r>
      <rPr>
        <rFont val="Arial"/>
        <color theme="1"/>
        <sz val="10.0"/>
      </rPr>
      <t xml:space="preserve">For </t>
    </r>
    <r>
      <rPr>
        <rFont val="Symbol"/>
        <i/>
        <color theme="1"/>
        <sz val="10.0"/>
      </rPr>
      <t>f</t>
    </r>
    <r>
      <rPr>
        <rFont val="Arial"/>
        <color theme="1"/>
        <sz val="10.0"/>
      </rPr>
      <t xml:space="preserve"> =</t>
    </r>
  </si>
  <si>
    <t>Variable</t>
  </si>
  <si>
    <t>Description</t>
  </si>
  <si>
    <t>Equation</t>
  </si>
  <si>
    <t>Value</t>
  </si>
  <si>
    <t>Notes</t>
  </si>
  <si>
    <t>Soil</t>
  </si>
  <si>
    <r>
      <rPr>
        <rFont val="Arial"/>
        <b/>
        <color theme="1"/>
        <sz val="10.0"/>
      </rPr>
      <t>Associated clause</t>
    </r>
    <r>
      <rPr>
        <rFont val="Arial"/>
        <b/>
        <color theme="1"/>
        <sz val="10.0"/>
        <vertAlign val="superscript"/>
      </rPr>
      <t xml:space="preserve"> (a)</t>
    </r>
  </si>
  <si>
    <r>
      <rPr>
        <rFont val="Arial"/>
        <b/>
        <color theme="1"/>
        <sz val="10.0"/>
      </rPr>
      <t xml:space="preserve">Method used to determine ultimate bearing capacity </t>
    </r>
    <r>
      <rPr>
        <rFont val="Arial"/>
        <b/>
        <i/>
        <color theme="1"/>
        <sz val="10.0"/>
      </rPr>
      <t>q</t>
    </r>
    <r>
      <rPr>
        <rFont val="Arial"/>
        <b/>
        <i/>
        <color theme="1"/>
        <sz val="10.0"/>
        <vertAlign val="subscript"/>
      </rPr>
      <t>B</t>
    </r>
  </si>
  <si>
    <r>
      <rPr>
        <rFont val="Arial"/>
        <b/>
        <color rgb="FF000000"/>
        <sz val="10.0"/>
      </rPr>
      <t xml:space="preserve">LRFD resistance factor for bearing strength assessment, </t>
    </r>
    <r>
      <rPr>
        <rFont val="Arial"/>
        <b/>
        <i/>
        <color rgb="FF000000"/>
        <sz val="10.0"/>
      </rPr>
      <t>R</t>
    </r>
    <r>
      <rPr>
        <rFont val="Arial"/>
        <b/>
        <i/>
        <color rgb="FF000000"/>
        <sz val="10.0"/>
        <vertAlign val="subscript"/>
      </rPr>
      <t>B</t>
    </r>
    <r>
      <rPr>
        <rFont val="Arial"/>
        <b/>
        <color rgb="FF000000"/>
        <sz val="10.0"/>
        <vertAlign val="subscript"/>
      </rPr>
      <t xml:space="preserve"> </t>
    </r>
    <r>
      <rPr>
        <rFont val="Arial"/>
        <b/>
        <color rgb="FF000000"/>
        <sz val="10.0"/>
        <vertAlign val="superscript"/>
      </rPr>
      <t>(b)</t>
    </r>
  </si>
  <si>
    <r>
      <rPr>
        <rFont val="Arial"/>
        <b/>
        <color rgb="FF000000"/>
        <sz val="10.0"/>
      </rPr>
      <t>ASD safety factor for bearing strength assessment,</t>
    </r>
    <r>
      <rPr>
        <rFont val="Arial"/>
        <b/>
        <i/>
        <color rgb="FF000000"/>
        <sz val="10.0"/>
      </rPr>
      <t xml:space="preserve"> f</t>
    </r>
    <r>
      <rPr>
        <rFont val="Arial"/>
        <b/>
        <i/>
        <color rgb="FF000000"/>
        <sz val="10.0"/>
        <vertAlign val="subscript"/>
      </rPr>
      <t>B</t>
    </r>
    <r>
      <rPr>
        <rFont val="Arial"/>
        <b/>
        <color rgb="FF000000"/>
        <sz val="10.0"/>
        <vertAlign val="superscript"/>
      </rPr>
      <t xml:space="preserve"> (b)</t>
    </r>
  </si>
  <si>
    <t>Diameter of a round footing or side length of a square footing</t>
  </si>
  <si>
    <t>inches</t>
  </si>
  <si>
    <t>Normal Risk</t>
  </si>
  <si>
    <r>
      <rPr>
        <rFont val="Arial"/>
        <b/>
        <color theme="1"/>
        <sz val="10.0"/>
      </rPr>
      <t>Low Risk</t>
    </r>
    <r>
      <rPr>
        <rFont val="Arial"/>
        <b/>
        <color theme="1"/>
        <sz val="10.0"/>
        <vertAlign val="superscript"/>
      </rPr>
      <t xml:space="preserve"> (c)</t>
    </r>
  </si>
  <si>
    <r>
      <rPr>
        <rFont val="Arial"/>
        <b/>
        <color theme="1"/>
        <sz val="10.0"/>
      </rPr>
      <t>Low Risk</t>
    </r>
    <r>
      <rPr>
        <rFont val="Arial"/>
        <b/>
        <color theme="1"/>
        <sz val="10.0"/>
        <vertAlign val="superscript"/>
      </rPr>
      <t xml:space="preserve"> (c)</t>
    </r>
  </si>
  <si>
    <r>
      <rPr>
        <rFont val="Arial"/>
        <i/>
        <color theme="1"/>
        <sz val="10.0"/>
      </rPr>
      <t>d</t>
    </r>
    <r>
      <rPr>
        <rFont val="Arial"/>
        <i/>
        <color theme="1"/>
        <sz val="10.0"/>
        <vertAlign val="subscript"/>
      </rPr>
      <t>F</t>
    </r>
  </si>
  <si>
    <t>Foundation or footing depth</t>
  </si>
  <si>
    <t>Cohesionless (SP, SW, GP. GW, GW-GC, GC, SC, SM, SP-SM, SP-SC, SW-SM, SW-SC)</t>
  </si>
  <si>
    <t>10.4.1</t>
  </si>
  <si>
    <r>
      <rPr>
        <rFont val="Arial"/>
        <color rgb="FF000000"/>
        <sz val="10.0"/>
      </rPr>
      <t xml:space="preserve">General bearing capacity equation with </t>
    </r>
    <r>
      <rPr>
        <rFont val="Symbol"/>
        <i/>
        <color rgb="FF000000"/>
        <sz val="10.0"/>
      </rPr>
      <t>f</t>
    </r>
    <r>
      <rPr>
        <rFont val="Arial"/>
        <i/>
        <color rgb="FF000000"/>
        <sz val="10.0"/>
      </rPr>
      <t xml:space="preserve"> </t>
    </r>
    <r>
      <rPr>
        <rFont val="Arial"/>
        <color rgb="FF000000"/>
        <sz val="10.0"/>
      </rPr>
      <t>determined from laboratory direct shear or axial compression tests (see clause 5.8.1)</t>
    </r>
  </si>
  <si>
    <r>
      <rPr>
        <rFont val="Arial"/>
        <color rgb="FF000000"/>
        <sz val="10.0"/>
      </rPr>
      <t>0.80 - 0.01·</t>
    </r>
    <r>
      <rPr>
        <rFont val="Symbol"/>
        <i/>
        <color rgb="FF000000"/>
        <sz val="10.0"/>
      </rPr>
      <t>f =</t>
    </r>
  </si>
  <si>
    <r>
      <rPr>
        <rFont val="Arial"/>
        <color rgb="FF000000"/>
        <sz val="10.0"/>
      </rPr>
      <t>1.4/(0.80 - 0.01·</t>
    </r>
    <r>
      <rPr>
        <rFont val="Symbol"/>
        <i/>
        <color rgb="FF000000"/>
        <sz val="10.0"/>
      </rPr>
      <t>f</t>
    </r>
    <r>
      <rPr>
        <rFont val="Arial"/>
        <color rgb="FF000000"/>
        <sz val="10.0"/>
      </rPr>
      <t>) =</t>
    </r>
  </si>
  <si>
    <r>
      <rPr>
        <rFont val="Arial"/>
        <i/>
        <color theme="1"/>
        <sz val="10.0"/>
      </rPr>
      <t>P</t>
    </r>
    <r>
      <rPr>
        <rFont val="Arial"/>
        <i/>
        <color theme="1"/>
        <sz val="10.0"/>
        <vertAlign val="subscript"/>
      </rPr>
      <t>LRFD</t>
    </r>
  </si>
  <si>
    <t>Axial load applied to foundation at grade by LRFD load combination</t>
  </si>
  <si>
    <t>lbf</t>
  </si>
  <si>
    <t>Enter "0" (zero) for ASD loading</t>
  </si>
  <si>
    <r>
      <rPr>
        <rFont val="Arial"/>
        <color rgb="FF000000"/>
        <sz val="10.0"/>
      </rPr>
      <t xml:space="preserve">General bearing capacity equation with </t>
    </r>
    <r>
      <rPr>
        <rFont val="Symbol"/>
        <i/>
        <color rgb="FF000000"/>
        <sz val="10.0"/>
      </rPr>
      <t>f</t>
    </r>
    <r>
      <rPr>
        <rFont val="Arial"/>
        <i/>
        <color rgb="FF000000"/>
        <sz val="10.0"/>
      </rPr>
      <t xml:space="preserve"> </t>
    </r>
    <r>
      <rPr>
        <rFont val="Arial"/>
        <color rgb="FF000000"/>
        <sz val="10.0"/>
      </rPr>
      <t>determined from SPT data in accordance with clause 5.8.2</t>
    </r>
  </si>
  <si>
    <r>
      <rPr>
        <rFont val="Arial"/>
        <color rgb="FF000000"/>
        <sz val="10.0"/>
      </rPr>
      <t>0.62 - 0.01·</t>
    </r>
    <r>
      <rPr>
        <rFont val="Symbol"/>
        <i/>
        <color rgb="FF000000"/>
        <sz val="10.0"/>
      </rPr>
      <t>f =</t>
    </r>
  </si>
  <si>
    <r>
      <rPr>
        <rFont val="Arial"/>
        <color rgb="FF000000"/>
        <sz val="10.0"/>
      </rPr>
      <t>1.4/(0.62 - 0.01·</t>
    </r>
    <r>
      <rPr>
        <rFont val="Symbol"/>
        <i/>
        <color rgb="FF000000"/>
        <sz val="10.0"/>
      </rPr>
      <t>f</t>
    </r>
    <r>
      <rPr>
        <rFont val="Arial"/>
        <color rgb="FF000000"/>
        <sz val="10.0"/>
      </rPr>
      <t>) =</t>
    </r>
  </si>
  <si>
    <r>
      <rPr>
        <rFont val="Arial"/>
        <i/>
        <color theme="1"/>
        <sz val="10.0"/>
      </rPr>
      <t>P</t>
    </r>
    <r>
      <rPr>
        <rFont val="Arial"/>
        <i/>
        <color theme="1"/>
        <sz val="10.0"/>
        <vertAlign val="subscript"/>
      </rPr>
      <t>ASD</t>
    </r>
  </si>
  <si>
    <t>Axial load applied to foundation at grade by ASD load combination</t>
  </si>
  <si>
    <t>Enter "0" (zero) for LRFD loading</t>
  </si>
  <si>
    <r>
      <rPr>
        <rFont val="Arial"/>
        <color rgb="FF000000"/>
        <sz val="10.0"/>
      </rPr>
      <t xml:space="preserve">General bearing capacity equation with </t>
    </r>
    <r>
      <rPr>
        <rFont val="Symbol"/>
        <i/>
        <color rgb="FF000000"/>
        <sz val="10.0"/>
      </rPr>
      <t>f</t>
    </r>
    <r>
      <rPr>
        <rFont val="Arial"/>
        <i/>
        <color rgb="FF000000"/>
        <sz val="10.0"/>
      </rPr>
      <t xml:space="preserve"> </t>
    </r>
    <r>
      <rPr>
        <rFont val="Arial"/>
        <color rgb="FF000000"/>
        <sz val="10.0"/>
      </rPr>
      <t>determined from CPT data in accordance with clause 5.8.3</t>
    </r>
  </si>
  <si>
    <r>
      <rPr>
        <rFont val="Arial"/>
        <color rgb="FF000000"/>
        <sz val="10.0"/>
      </rPr>
      <t>0.71 - 0.01·</t>
    </r>
    <r>
      <rPr>
        <rFont val="Symbol"/>
        <i/>
        <color rgb="FF000000"/>
        <sz val="10.0"/>
      </rPr>
      <t>f =</t>
    </r>
  </si>
  <si>
    <r>
      <rPr>
        <rFont val="Arial"/>
        <color rgb="FF000000"/>
        <sz val="10.0"/>
      </rPr>
      <t>1.4/(0.71 - 0.01·</t>
    </r>
    <r>
      <rPr>
        <rFont val="Symbol"/>
        <i/>
        <color rgb="FF000000"/>
        <sz val="10.0"/>
      </rPr>
      <t>f</t>
    </r>
    <r>
      <rPr>
        <rFont val="Arial"/>
        <color rgb="FF000000"/>
        <sz val="10.0"/>
      </rPr>
      <t>) =</t>
    </r>
  </si>
  <si>
    <t xml:space="preserve">Shape of footing </t>
  </si>
  <si>
    <t>NA</t>
  </si>
  <si>
    <t>Enter "1" for square and "0"  for round ftg.</t>
  </si>
  <si>
    <t>General bearing capacity equation with presumptive soil properties from ASAE EP486.3 Table 1</t>
  </si>
  <si>
    <r>
      <rPr>
        <rFont val="Arial"/>
        <color rgb="FF000000"/>
        <sz val="10.0"/>
      </rPr>
      <t>0.58 - 0.01·</t>
    </r>
    <r>
      <rPr>
        <rFont val="Symbol"/>
        <i/>
        <color rgb="FF000000"/>
        <sz val="10.0"/>
      </rPr>
      <t>f =</t>
    </r>
  </si>
  <si>
    <r>
      <rPr>
        <rFont val="Arial"/>
        <color rgb="FF000000"/>
        <sz val="10.0"/>
      </rPr>
      <t>1.4/(0.58 - 0.01·</t>
    </r>
    <r>
      <rPr>
        <rFont val="Symbol"/>
        <i/>
        <color rgb="FF000000"/>
        <sz val="10.0"/>
      </rPr>
      <t>f</t>
    </r>
    <r>
      <rPr>
        <rFont val="Arial"/>
        <color rgb="FF000000"/>
        <sz val="10.0"/>
      </rPr>
      <t>) =</t>
    </r>
  </si>
  <si>
    <r>
      <rPr>
        <rFont val="Arial"/>
        <i/>
        <color theme="1"/>
        <sz val="10.0"/>
      </rPr>
      <t>q</t>
    </r>
    <r>
      <rPr>
        <rFont val="Arial"/>
        <i/>
        <color theme="1"/>
        <sz val="10.0"/>
        <vertAlign val="subscript"/>
      </rPr>
      <t>B</t>
    </r>
  </si>
  <si>
    <t>Ultimate bearing capacity</t>
  </si>
  <si>
    <t>Obtain from one of the below tables</t>
  </si>
  <si>
    <r>
      <rPr>
        <rFont val="Arial"/>
        <color theme="1"/>
        <sz val="10.0"/>
      </rPr>
      <t>lbf/in.</t>
    </r>
    <r>
      <rPr>
        <rFont val="Arial"/>
        <color theme="1"/>
        <sz val="10.0"/>
        <vertAlign val="superscript"/>
      </rPr>
      <t>2</t>
    </r>
  </si>
  <si>
    <t>Use appropriate table below</t>
  </si>
  <si>
    <t>General bearing capacity equation with presumptive soil properties from ASAE EP486.3 Table 1 with soil type verified by construction testing</t>
  </si>
  <si>
    <r>
      <rPr>
        <rFont val="Arial"/>
        <color rgb="FF000000"/>
        <sz val="10.0"/>
      </rPr>
      <t>0.77 - 0.01·</t>
    </r>
    <r>
      <rPr>
        <rFont val="Symbol"/>
        <i/>
        <color rgb="FF000000"/>
        <sz val="10.0"/>
      </rPr>
      <t>f =</t>
    </r>
  </si>
  <si>
    <r>
      <rPr>
        <rFont val="Arial"/>
        <color rgb="FF000000"/>
        <sz val="10.0"/>
      </rPr>
      <t>1.4/(0.77 - 0.01·</t>
    </r>
    <r>
      <rPr>
        <rFont val="Symbol"/>
        <i/>
        <color rgb="FF000000"/>
        <sz val="10.0"/>
      </rPr>
      <t>f</t>
    </r>
    <r>
      <rPr>
        <rFont val="Arial"/>
        <color rgb="FF000000"/>
        <sz val="10.0"/>
      </rPr>
      <t>) =</t>
    </r>
  </si>
  <si>
    <r>
      <rPr>
        <rFont val="Arial"/>
        <i/>
        <color theme="1"/>
        <sz val="10.0"/>
      </rPr>
      <t>R</t>
    </r>
    <r>
      <rPr>
        <rFont val="Arial"/>
        <i/>
        <color theme="1"/>
        <sz val="10.0"/>
        <vertAlign val="subscript"/>
      </rPr>
      <t>B</t>
    </r>
  </si>
  <si>
    <t>LRFD resistance factor for bearing strength assessment</t>
  </si>
  <si>
    <t>dimensionless</t>
  </si>
  <si>
    <t>See table to the right</t>
  </si>
  <si>
    <t xml:space="preserve">10.4.2 </t>
  </si>
  <si>
    <t xml:space="preserve">Standard penetration test (SPT) </t>
  </si>
  <si>
    <r>
      <rPr>
        <rFont val="Arial"/>
        <i/>
        <color theme="1"/>
        <sz val="10.0"/>
      </rPr>
      <t>f</t>
    </r>
    <r>
      <rPr>
        <rFont val="Arial"/>
        <i/>
        <color theme="1"/>
        <sz val="10.0"/>
        <vertAlign val="subscript"/>
      </rPr>
      <t>B</t>
    </r>
  </si>
  <si>
    <t>ASD factor of safety for bearing strength assessment</t>
  </si>
  <si>
    <t>10.4.3</t>
  </si>
  <si>
    <t xml:space="preserve">Cone penetration test (CPT) </t>
  </si>
  <si>
    <r>
      <rPr>
        <rFont val="Arial"/>
        <i/>
        <color theme="1"/>
        <sz val="10.0"/>
      </rPr>
      <t>d</t>
    </r>
    <r>
      <rPr>
        <rFont val="Arial"/>
        <i/>
        <color theme="1"/>
        <sz val="10.0"/>
        <vertAlign val="subscript"/>
      </rPr>
      <t>W</t>
    </r>
  </si>
  <si>
    <t>Distance between soil surface and top of the water table</t>
  </si>
  <si>
    <t>Taken from Soil Profile worksheet</t>
  </si>
  <si>
    <t>whole inches</t>
  </si>
  <si>
    <t>10.4.4</t>
  </si>
  <si>
    <t>Pressuremeter test (PMT)</t>
  </si>
  <si>
    <r>
      <rPr>
        <rFont val="Arial"/>
        <i/>
        <color theme="1"/>
        <sz val="10.0"/>
      </rPr>
      <t>q</t>
    </r>
    <r>
      <rPr>
        <rFont val="Arial"/>
        <i/>
        <color theme="1"/>
        <sz val="10.0"/>
        <vertAlign val="subscript"/>
      </rPr>
      <t>0</t>
    </r>
  </si>
  <si>
    <r>
      <rPr>
        <rFont val="Arial"/>
        <color theme="1"/>
        <sz val="10.0"/>
      </rPr>
      <t xml:space="preserve">Total overburden pressure at footing depth </t>
    </r>
    <r>
      <rPr>
        <rFont val="Arial"/>
        <i/>
        <color theme="1"/>
        <sz val="10.0"/>
      </rPr>
      <t>d</t>
    </r>
    <r>
      <rPr>
        <rFont val="Arial"/>
        <i/>
        <color theme="1"/>
        <sz val="10.0"/>
        <vertAlign val="subscript"/>
      </rPr>
      <t>F</t>
    </r>
  </si>
  <si>
    <r>
      <rPr>
        <rFont val="Arial"/>
        <color theme="1"/>
        <sz val="10.0"/>
      </rPr>
      <t>lbf/in</t>
    </r>
    <r>
      <rPr>
        <rFont val="Arial"/>
        <color theme="1"/>
        <sz val="10.0"/>
        <vertAlign val="superscript"/>
      </rPr>
      <t>2</t>
    </r>
  </si>
  <si>
    <t>Cohesive (CL,CH, ML, MH)</t>
  </si>
  <si>
    <t>General bearing capacity equation with undrained shear strength determined from laboratory compression tests (see clause 5.7.1)</t>
  </si>
  <si>
    <t>Average moist unit weight of soil above the footing</t>
  </si>
  <si>
    <r>
      <rPr>
        <rFont val="Arial"/>
        <i/>
        <color theme="1"/>
        <sz val="10.0"/>
      </rPr>
      <t>q</t>
    </r>
    <r>
      <rPr>
        <rFont val="Arial"/>
        <i/>
        <color theme="1"/>
        <sz val="10.0"/>
        <vertAlign val="subscript"/>
      </rPr>
      <t>0</t>
    </r>
    <r>
      <rPr>
        <rFont val="Arial"/>
        <i val="0"/>
        <color theme="1"/>
        <sz val="10.0"/>
      </rPr>
      <t>/</t>
    </r>
    <r>
      <rPr>
        <rFont val="Arial"/>
        <i/>
        <color theme="1"/>
        <sz val="10.0"/>
      </rPr>
      <t>d</t>
    </r>
    <r>
      <rPr>
        <rFont val="Arial"/>
        <i/>
        <color theme="1"/>
        <sz val="10.0"/>
        <vertAlign val="subscript"/>
      </rPr>
      <t>F</t>
    </r>
  </si>
  <si>
    <r>
      <rPr>
        <rFont val="Arial"/>
        <color theme="1"/>
        <sz val="10.0"/>
      </rPr>
      <t>lbf/ft</t>
    </r>
    <r>
      <rPr>
        <rFont val="Arial"/>
        <color theme="1"/>
        <sz val="10.0"/>
        <vertAlign val="superscript"/>
      </rPr>
      <t>3</t>
    </r>
  </si>
  <si>
    <t>General bearing capacity equation with undrained shear strength determined from PBPMT data in accordance with clause 5.7.2</t>
  </si>
  <si>
    <r>
      <rPr>
        <rFont val="Arial"/>
        <i/>
        <color theme="1"/>
        <sz val="10.0"/>
      </rPr>
      <t>C</t>
    </r>
    <r>
      <rPr>
        <rFont val="Arial"/>
        <i/>
        <color theme="1"/>
        <sz val="10.0"/>
        <vertAlign val="subscript"/>
      </rPr>
      <t>w1</t>
    </r>
  </si>
  <si>
    <t>Correction factor for effect of ground water location on the ultimate bearing strength of cohesionless soils</t>
  </si>
  <si>
    <r>
      <rPr>
        <rFont val="Arial"/>
        <color theme="1"/>
        <sz val="10.0"/>
      </rPr>
      <t xml:space="preserve">0.5 when </t>
    </r>
    <r>
      <rPr>
        <rFont val="Arial"/>
        <i/>
        <color theme="1"/>
        <sz val="10.0"/>
      </rPr>
      <t>d</t>
    </r>
    <r>
      <rPr>
        <rFont val="Arial"/>
        <i/>
        <color theme="1"/>
        <sz val="10.0"/>
        <vertAlign val="subscript"/>
      </rPr>
      <t>W</t>
    </r>
    <r>
      <rPr>
        <rFont val="Arial"/>
        <color theme="1"/>
        <sz val="10.0"/>
        <vertAlign val="subscript"/>
      </rPr>
      <t xml:space="preserve"> </t>
    </r>
    <r>
      <rPr>
        <rFont val="Arial"/>
        <color theme="1"/>
        <sz val="10.0"/>
      </rPr>
      <t>&lt;</t>
    </r>
    <r>
      <rPr>
        <rFont val="Arial"/>
        <i/>
        <color theme="1"/>
        <sz val="10.0"/>
      </rPr>
      <t xml:space="preserve"> d</t>
    </r>
    <r>
      <rPr>
        <rFont val="Arial"/>
        <i/>
        <color theme="1"/>
        <sz val="10.0"/>
        <vertAlign val="subscript"/>
      </rPr>
      <t>F</t>
    </r>
    <r>
      <rPr>
        <rFont val="Arial"/>
        <color theme="1"/>
        <sz val="10.0"/>
      </rPr>
      <t xml:space="preserve">; 1.0 when </t>
    </r>
    <r>
      <rPr>
        <rFont val="Arial"/>
        <i/>
        <color theme="1"/>
        <sz val="10.0"/>
      </rPr>
      <t>d</t>
    </r>
    <r>
      <rPr>
        <rFont val="Arial"/>
        <i/>
        <color theme="1"/>
        <sz val="10.0"/>
        <vertAlign val="subscript"/>
      </rPr>
      <t>W</t>
    </r>
    <r>
      <rPr>
        <rFont val="Arial"/>
        <color theme="1"/>
        <sz val="10.0"/>
      </rPr>
      <t xml:space="preserve">  &gt; 1.5</t>
    </r>
    <r>
      <rPr>
        <rFont val="Arial"/>
        <i/>
        <color theme="1"/>
        <sz val="10.0"/>
      </rPr>
      <t>B</t>
    </r>
    <r>
      <rPr>
        <rFont val="Arial"/>
        <color theme="1"/>
        <sz val="10.0"/>
      </rPr>
      <t xml:space="preserve"> +</t>
    </r>
    <r>
      <rPr>
        <rFont val="Arial"/>
        <i/>
        <color theme="1"/>
        <sz val="10.0"/>
      </rPr>
      <t xml:space="preserve"> d</t>
    </r>
    <r>
      <rPr>
        <rFont val="Arial"/>
        <i/>
        <color theme="1"/>
        <sz val="10.0"/>
        <vertAlign val="subscript"/>
      </rPr>
      <t>F</t>
    </r>
    <r>
      <rPr>
        <rFont val="Arial"/>
        <i/>
        <color theme="1"/>
        <sz val="10.0"/>
      </rPr>
      <t>;</t>
    </r>
    <r>
      <rPr>
        <rFont val="Arial"/>
        <color theme="1"/>
        <sz val="10.0"/>
      </rPr>
      <t xml:space="preserve"> 0.5 + (</t>
    </r>
    <r>
      <rPr>
        <rFont val="Arial"/>
        <i/>
        <color theme="1"/>
        <sz val="10.0"/>
      </rPr>
      <t>d</t>
    </r>
    <r>
      <rPr>
        <rFont val="Arial"/>
        <i/>
        <color theme="1"/>
        <sz val="10.0"/>
        <vertAlign val="subscript"/>
      </rPr>
      <t>W</t>
    </r>
    <r>
      <rPr>
        <rFont val="Arial"/>
        <color theme="1"/>
        <sz val="10.0"/>
      </rPr>
      <t>-</t>
    </r>
    <r>
      <rPr>
        <rFont val="Arial"/>
        <i/>
        <color theme="1"/>
        <sz val="10.0"/>
      </rPr>
      <t>d</t>
    </r>
    <r>
      <rPr>
        <rFont val="Arial"/>
        <i/>
        <color theme="1"/>
        <sz val="10.0"/>
        <vertAlign val="subscript"/>
      </rPr>
      <t>F</t>
    </r>
    <r>
      <rPr>
        <rFont val="Arial"/>
        <color theme="1"/>
        <sz val="10.0"/>
      </rPr>
      <t xml:space="preserve">)/(3B)  when </t>
    </r>
    <r>
      <rPr>
        <rFont val="Arial"/>
        <i/>
        <color theme="1"/>
        <sz val="10.0"/>
      </rPr>
      <t>d</t>
    </r>
    <r>
      <rPr>
        <rFont val="Arial"/>
        <i/>
        <color theme="1"/>
        <sz val="10.0"/>
        <vertAlign val="subscript"/>
      </rPr>
      <t>F</t>
    </r>
    <r>
      <rPr>
        <rFont val="Arial"/>
        <color theme="1"/>
        <sz val="10.0"/>
      </rPr>
      <t xml:space="preserve"> &lt; </t>
    </r>
    <r>
      <rPr>
        <rFont val="Arial"/>
        <i/>
        <color theme="1"/>
        <sz val="10.0"/>
      </rPr>
      <t>d</t>
    </r>
    <r>
      <rPr>
        <rFont val="Arial"/>
        <i/>
        <color theme="1"/>
        <sz val="10.0"/>
        <vertAlign val="subscript"/>
      </rPr>
      <t>W</t>
    </r>
    <r>
      <rPr>
        <rFont val="Arial"/>
        <color theme="1"/>
        <sz val="10.0"/>
      </rPr>
      <t xml:space="preserve"> &lt; 1.5</t>
    </r>
    <r>
      <rPr>
        <rFont val="Arial"/>
        <i/>
        <color theme="1"/>
        <sz val="10.0"/>
      </rPr>
      <t>B</t>
    </r>
    <r>
      <rPr>
        <rFont val="Arial"/>
        <color theme="1"/>
        <sz val="10.0"/>
      </rPr>
      <t xml:space="preserve"> + </t>
    </r>
    <r>
      <rPr>
        <rFont val="Arial"/>
        <i/>
        <color theme="1"/>
        <sz val="10.0"/>
      </rPr>
      <t>d</t>
    </r>
    <r>
      <rPr>
        <rFont val="Arial"/>
        <i/>
        <color theme="1"/>
        <sz val="10.0"/>
        <vertAlign val="subscript"/>
      </rPr>
      <t>F</t>
    </r>
  </si>
  <si>
    <t>ASAE EP 486.3 Clause 10.4</t>
  </si>
  <si>
    <t>General bearing capacity equation with undrained shear strength determined from CPT data in accordance with clause 5.7.3</t>
  </si>
  <si>
    <t>General bearing capacity equation with undrained shear strength determined from in-situ vane tests in accordance with clause 5.7.4</t>
  </si>
  <si>
    <r>
      <rPr>
        <rFont val="Arial"/>
        <i/>
        <color theme="1"/>
        <sz val="10.0"/>
      </rPr>
      <t>C</t>
    </r>
    <r>
      <rPr>
        <rFont val="Arial"/>
        <i/>
        <color theme="1"/>
        <sz val="10.0"/>
        <vertAlign val="subscript"/>
      </rPr>
      <t>w2</t>
    </r>
  </si>
  <si>
    <r>
      <rPr>
        <rFont val="Arial"/>
        <color theme="1"/>
        <sz val="10.0"/>
      </rPr>
      <t>0.5 + 0.5 d</t>
    </r>
    <r>
      <rPr>
        <rFont val="Arial"/>
        <color theme="1"/>
        <sz val="10.0"/>
        <vertAlign val="subscript"/>
      </rPr>
      <t>W</t>
    </r>
    <r>
      <rPr>
        <rFont val="Arial"/>
        <color theme="1"/>
        <sz val="10.0"/>
      </rPr>
      <t>/d</t>
    </r>
    <r>
      <rPr>
        <rFont val="Arial"/>
        <color theme="1"/>
        <sz val="10.0"/>
        <vertAlign val="subscript"/>
      </rPr>
      <t>F</t>
    </r>
    <r>
      <rPr>
        <rFont val="Arial"/>
        <color theme="1"/>
        <sz val="10.0"/>
      </rPr>
      <t xml:space="preserve"> when d</t>
    </r>
    <r>
      <rPr>
        <rFont val="Arial"/>
        <color theme="1"/>
        <sz val="10.0"/>
        <vertAlign val="subscript"/>
      </rPr>
      <t>W</t>
    </r>
    <r>
      <rPr>
        <rFont val="Arial"/>
        <color theme="1"/>
        <sz val="10.0"/>
      </rPr>
      <t xml:space="preserve"> &lt; d</t>
    </r>
    <r>
      <rPr>
        <rFont val="Arial"/>
        <color theme="1"/>
        <sz val="10.0"/>
        <vertAlign val="subscript"/>
      </rPr>
      <t>F</t>
    </r>
    <r>
      <rPr>
        <rFont val="Arial"/>
        <color theme="1"/>
        <sz val="10.0"/>
      </rPr>
      <t xml:space="preserve"> else equal to 1.0</t>
    </r>
  </si>
  <si>
    <t xml:space="preserve">Footing bearing area </t>
  </si>
  <si>
    <r>
      <rPr>
        <rFont val="Arial"/>
        <i/>
        <color theme="1"/>
        <sz val="10.0"/>
      </rPr>
      <t>B</t>
    </r>
    <r>
      <rPr>
        <rFont val="Arial"/>
        <i val="0"/>
        <color theme="1"/>
        <sz val="10.0"/>
        <vertAlign val="superscript"/>
      </rPr>
      <t>2</t>
    </r>
    <r>
      <rPr>
        <rFont val="Arial"/>
        <i val="0"/>
        <color theme="1"/>
        <sz val="10.0"/>
      </rPr>
      <t xml:space="preserve"> for square footing, 3.14*</t>
    </r>
    <r>
      <rPr>
        <rFont val="Arial"/>
        <i/>
        <color theme="1"/>
        <sz val="10.0"/>
      </rPr>
      <t>B</t>
    </r>
    <r>
      <rPr>
        <rFont val="Arial"/>
        <i val="0"/>
        <color theme="1"/>
        <sz val="10.0"/>
        <vertAlign val="superscript"/>
      </rPr>
      <t>2</t>
    </r>
    <r>
      <rPr>
        <rFont val="Arial"/>
        <i val="0"/>
        <color theme="1"/>
        <sz val="10.0"/>
      </rPr>
      <t>/4 for round footing</t>
    </r>
  </si>
  <si>
    <r>
      <rPr>
        <rFont val="Arial"/>
        <color theme="1"/>
        <sz val="10.0"/>
      </rPr>
      <t>in</t>
    </r>
    <r>
      <rPr>
        <rFont val="Arial"/>
        <color theme="1"/>
        <sz val="10.0"/>
        <vertAlign val="superscript"/>
      </rPr>
      <t>2</t>
    </r>
  </si>
  <si>
    <r>
      <rPr>
        <rFont val="Arial"/>
        <i/>
        <color theme="1"/>
        <sz val="10.0"/>
      </rPr>
      <t>Max P</t>
    </r>
    <r>
      <rPr>
        <rFont val="Arial"/>
        <i/>
        <color theme="1"/>
        <sz val="10.0"/>
        <vertAlign val="subscript"/>
      </rPr>
      <t>LRFD</t>
    </r>
  </si>
  <si>
    <t>Maximum allowed LRFD axial load applied to foundation at grade</t>
  </si>
  <si>
    <r>
      <rPr>
        <rFont val="Arial"/>
        <color theme="1"/>
        <sz val="10.0"/>
      </rPr>
      <t>(</t>
    </r>
    <r>
      <rPr>
        <rFont val="Arial"/>
        <i/>
        <color theme="1"/>
        <sz val="10.0"/>
      </rPr>
      <t>q</t>
    </r>
    <r>
      <rPr>
        <rFont val="Arial"/>
        <i/>
        <color theme="1"/>
        <sz val="10.0"/>
        <vertAlign val="subscript"/>
      </rPr>
      <t>B</t>
    </r>
    <r>
      <rPr>
        <rFont val="Arial"/>
        <color theme="1"/>
        <sz val="10.0"/>
        <vertAlign val="subscript"/>
      </rPr>
      <t xml:space="preserve">  </t>
    </r>
    <r>
      <rPr>
        <rFont val="Arial"/>
        <color theme="1"/>
        <sz val="10.0"/>
      </rPr>
      <t>-</t>
    </r>
    <r>
      <rPr>
        <rFont val="Arial"/>
        <i/>
        <color theme="1"/>
        <sz val="10.0"/>
      </rPr>
      <t>q</t>
    </r>
    <r>
      <rPr>
        <rFont val="Arial"/>
        <i/>
        <color theme="1"/>
        <sz val="10.0"/>
        <vertAlign val="subscript"/>
      </rPr>
      <t>0</t>
    </r>
    <r>
      <rPr>
        <rFont val="Arial"/>
        <color theme="1"/>
        <sz val="10.0"/>
      </rPr>
      <t>)*</t>
    </r>
    <r>
      <rPr>
        <rFont val="Arial"/>
        <i/>
        <color theme="1"/>
        <sz val="10.0"/>
      </rPr>
      <t>A*R</t>
    </r>
    <r>
      <rPr>
        <rFont val="Arial"/>
        <i/>
        <color theme="1"/>
        <sz val="10.0"/>
        <vertAlign val="subscript"/>
      </rPr>
      <t>B</t>
    </r>
  </si>
  <si>
    <t>ASAE EP 486.3 Clause 10.3</t>
  </si>
  <si>
    <r>
      <rPr>
        <rFont val="Arial"/>
        <i/>
        <color theme="1"/>
        <sz val="10.0"/>
      </rPr>
      <t>Max P</t>
    </r>
    <r>
      <rPr>
        <rFont val="Arial"/>
        <i/>
        <color theme="1"/>
        <sz val="10.0"/>
        <vertAlign val="subscript"/>
      </rPr>
      <t>ASD</t>
    </r>
  </si>
  <si>
    <t>Maximum allowed ASD axial load applied to foundation at grade</t>
  </si>
  <si>
    <r>
      <rPr>
        <rFont val="Arial"/>
        <color theme="1"/>
        <sz val="10.0"/>
      </rPr>
      <t>(</t>
    </r>
    <r>
      <rPr>
        <rFont val="Arial"/>
        <i/>
        <color theme="1"/>
        <sz val="10.0"/>
      </rPr>
      <t>q</t>
    </r>
    <r>
      <rPr>
        <rFont val="Arial"/>
        <i/>
        <color theme="1"/>
        <sz val="10.0"/>
        <vertAlign val="subscript"/>
      </rPr>
      <t>B</t>
    </r>
    <r>
      <rPr>
        <rFont val="Arial"/>
        <color theme="1"/>
        <sz val="10.0"/>
        <vertAlign val="subscript"/>
      </rPr>
      <t xml:space="preserve">  </t>
    </r>
    <r>
      <rPr>
        <rFont val="Arial"/>
        <color theme="1"/>
        <sz val="10.0"/>
      </rPr>
      <t>-</t>
    </r>
    <r>
      <rPr>
        <rFont val="Arial"/>
        <i/>
        <color theme="1"/>
        <sz val="10.0"/>
      </rPr>
      <t>q</t>
    </r>
    <r>
      <rPr>
        <rFont val="Arial"/>
        <i/>
        <color theme="1"/>
        <sz val="10.0"/>
        <vertAlign val="subscript"/>
      </rPr>
      <t>0</t>
    </r>
    <r>
      <rPr>
        <rFont val="Arial"/>
        <color theme="1"/>
        <sz val="10.0"/>
      </rPr>
      <t>)*</t>
    </r>
    <r>
      <rPr>
        <rFont val="Arial"/>
        <i/>
        <color theme="1"/>
        <sz val="10.0"/>
      </rPr>
      <t>A</t>
    </r>
    <r>
      <rPr>
        <rFont val="Arial"/>
        <color theme="1"/>
        <sz val="10.0"/>
      </rPr>
      <t>/</t>
    </r>
    <r>
      <rPr>
        <rFont val="Arial"/>
        <i/>
        <color theme="1"/>
        <sz val="10.0"/>
      </rPr>
      <t>f</t>
    </r>
    <r>
      <rPr>
        <rFont val="Arial"/>
        <i/>
        <color theme="1"/>
        <sz val="10.0"/>
        <vertAlign val="subscript"/>
      </rPr>
      <t>B</t>
    </r>
  </si>
  <si>
    <t>ASAE EP 486.3 Clause 10.2</t>
  </si>
  <si>
    <r>
      <rPr>
        <rFont val="Arial"/>
        <color rgb="FF000000"/>
        <sz val="10.0"/>
      </rPr>
      <t>(a)</t>
    </r>
    <r>
      <rPr>
        <rFont val="Arial"/>
        <color rgb="FF000000"/>
        <sz val="10.0"/>
      </rPr>
      <t xml:space="preserve"> Clause in ASAE EP 486.3 containing the </t>
    </r>
    <r>
      <rPr>
        <rFont val="Arial"/>
        <i/>
        <color rgb="FF000000"/>
        <sz val="10.0"/>
      </rPr>
      <t>q</t>
    </r>
    <r>
      <rPr>
        <rFont val="Arial"/>
        <i/>
        <color rgb="FF000000"/>
        <sz val="10.0"/>
        <vertAlign val="subscript"/>
      </rPr>
      <t>B</t>
    </r>
    <r>
      <rPr>
        <rFont val="Arial"/>
        <color rgb="FF000000"/>
        <sz val="10.0"/>
      </rPr>
      <t xml:space="preserve"> equation to which the resistance/safety factor applies.</t>
    </r>
  </si>
  <si>
    <t>Are design requirements met?</t>
  </si>
  <si>
    <r>
      <rPr>
        <rFont val="Arial"/>
        <color rgb="FF000000"/>
        <sz val="10.0"/>
      </rPr>
      <t xml:space="preserve">(b) </t>
    </r>
    <r>
      <rPr>
        <rFont val="Arial"/>
        <color rgb="FF000000"/>
        <sz val="10.0"/>
      </rPr>
      <t>In all cases,</t>
    </r>
    <r>
      <rPr>
        <rFont val="Arial"/>
        <color rgb="FF000000"/>
        <sz val="10.0"/>
        <vertAlign val="superscript"/>
      </rPr>
      <t xml:space="preserve"> </t>
    </r>
    <r>
      <rPr>
        <rFont val="Arial"/>
        <i/>
        <color rgb="FF000000"/>
        <sz val="10.0"/>
      </rPr>
      <t>R</t>
    </r>
    <r>
      <rPr>
        <rFont val="Arial"/>
        <i/>
        <color rgb="FF000000"/>
        <sz val="10.0"/>
        <vertAlign val="subscript"/>
      </rPr>
      <t xml:space="preserve">B </t>
    </r>
    <r>
      <rPr>
        <rFont val="Arial"/>
        <color rgb="FF000000"/>
        <sz val="10.0"/>
      </rPr>
      <t xml:space="preserve">is limited to a maximum value of 0.93 and </t>
    </r>
    <r>
      <rPr>
        <rFont val="Arial"/>
        <i/>
        <color rgb="FF000000"/>
        <sz val="10.0"/>
      </rPr>
      <t>f</t>
    </r>
    <r>
      <rPr>
        <rFont val="Arial"/>
        <i/>
        <color rgb="FF000000"/>
        <sz val="10.0"/>
        <vertAlign val="subscript"/>
      </rPr>
      <t>B</t>
    </r>
    <r>
      <rPr>
        <rFont val="Arial"/>
        <color rgb="FF000000"/>
        <sz val="10.0"/>
      </rPr>
      <t xml:space="preserve"> is limited to a minimum value of 1.50.</t>
    </r>
  </si>
  <si>
    <r>
      <rPr>
        <rFont val="Arial"/>
        <color theme="1"/>
        <sz val="10.0"/>
      </rPr>
      <t>(c)</t>
    </r>
    <r>
      <rPr>
        <rFont val="Arial"/>
        <color theme="1"/>
        <sz val="10.0"/>
      </rPr>
      <t xml:space="preserve"> For buildings and other structures that represent a low risk to humans in the event of a failure. </t>
    </r>
    <r>
      <rPr>
        <rFont val="Arial"/>
        <i/>
        <color theme="1"/>
        <sz val="10.0"/>
      </rPr>
      <t>R</t>
    </r>
    <r>
      <rPr>
        <rFont val="Arial"/>
        <i/>
        <color theme="1"/>
        <sz val="10.0"/>
        <vertAlign val="subscript"/>
      </rPr>
      <t>B</t>
    </r>
    <r>
      <rPr>
        <rFont val="Arial"/>
        <color theme="1"/>
        <sz val="10.0"/>
      </rPr>
      <t xml:space="preserve"> values increased by 25% and </t>
    </r>
    <r>
      <rPr>
        <rFont val="Arial"/>
        <i/>
        <color theme="1"/>
        <sz val="10.0"/>
      </rPr>
      <t>f</t>
    </r>
    <r>
      <rPr>
        <rFont val="Arial"/>
        <i/>
        <color theme="1"/>
        <sz val="10.0"/>
        <vertAlign val="subscript"/>
      </rPr>
      <t>B</t>
    </r>
    <r>
      <rPr>
        <rFont val="Arial"/>
        <color theme="1"/>
        <sz val="10.0"/>
      </rPr>
      <t xml:space="preserve"> values reduced by 20%.</t>
    </r>
  </si>
  <si>
    <r>
      <rPr>
        <rFont val="Arial"/>
        <b/>
        <color rgb="FFFFFFFF"/>
        <sz val="14.0"/>
      </rPr>
      <t xml:space="preserve"> Ultimate Bearing Capacity,</t>
    </r>
    <r>
      <rPr>
        <rFont val="Arial"/>
        <b/>
        <i/>
        <color rgb="FFFFFFFF"/>
        <sz val="14.0"/>
      </rPr>
      <t xml:space="preserve"> q</t>
    </r>
    <r>
      <rPr>
        <rFont val="Arial"/>
        <b/>
        <i/>
        <color rgb="FFFFFFFF"/>
        <sz val="14.0"/>
        <vertAlign val="subscript"/>
      </rPr>
      <t>B</t>
    </r>
    <r>
      <rPr>
        <rFont val="Arial"/>
        <b/>
        <i/>
        <color rgb="FFFFFFFF"/>
        <sz val="14.0"/>
      </rPr>
      <t xml:space="preserve"> </t>
    </r>
  </si>
  <si>
    <r>
      <rPr>
        <rFont val="Arial"/>
        <b/>
        <color theme="1"/>
        <sz val="10.0"/>
      </rPr>
      <t xml:space="preserve">Fill in the yellow cell(s) in the table below that corresponds to the methodology you are applying.  Transfer resulting </t>
    </r>
    <r>
      <rPr>
        <rFont val="Arial"/>
        <b/>
        <i/>
        <color theme="1"/>
        <sz val="10.0"/>
      </rPr>
      <t>q</t>
    </r>
    <r>
      <rPr>
        <rFont val="Arial"/>
        <b/>
        <i/>
        <color theme="1"/>
        <sz val="10.0"/>
        <vertAlign val="subscript"/>
      </rPr>
      <t>B</t>
    </r>
    <r>
      <rPr>
        <rFont val="Arial"/>
        <b/>
        <color theme="1"/>
        <sz val="10.0"/>
      </rPr>
      <t xml:space="preserve"> value to table above.</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</si>
  <si>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Saturated Clay from the General Bearing Capacity Equation (Clause 10.4.1)</t>
    </r>
  </si>
  <si>
    <r>
      <rPr>
        <rFont val="Arial"/>
        <i/>
        <color theme="1"/>
        <sz val="10.0"/>
      </rPr>
      <t>q</t>
    </r>
    <r>
      <rPr>
        <rFont val="Arial"/>
        <i/>
        <color theme="1"/>
        <sz val="10.0"/>
        <vertAlign val="subscript"/>
      </rPr>
      <t>B</t>
    </r>
    <r>
      <rPr>
        <rFont val="Arial"/>
        <i/>
        <color theme="1"/>
        <sz val="10.0"/>
      </rPr>
      <t xml:space="preserve"> </t>
    </r>
  </si>
  <si>
    <r>
      <rPr>
        <rFont val="Arial"/>
        <i/>
        <color theme="1"/>
        <sz val="10.0"/>
      </rPr>
      <t>S</t>
    </r>
    <r>
      <rPr>
        <rFont val="Arial"/>
        <i/>
        <color theme="1"/>
        <sz val="10.0"/>
        <vertAlign val="subscript"/>
      </rPr>
      <t>U</t>
    </r>
    <r>
      <rPr>
        <rFont val="Arial"/>
        <i/>
        <color theme="1"/>
        <sz val="10.0"/>
      </rPr>
      <t>N</t>
    </r>
    <r>
      <rPr>
        <rFont val="Arial"/>
        <i/>
        <color theme="1"/>
        <sz val="10.0"/>
        <vertAlign val="subscript"/>
      </rPr>
      <t>C</t>
    </r>
    <r>
      <rPr>
        <rFont val="Arial"/>
        <i/>
        <color theme="1"/>
        <sz val="10.0"/>
      </rPr>
      <t>d</t>
    </r>
    <r>
      <rPr>
        <rFont val="Arial"/>
        <i/>
        <color theme="1"/>
        <sz val="10.0"/>
        <vertAlign val="subscript"/>
      </rPr>
      <t>C</t>
    </r>
    <r>
      <rPr>
        <rFont val="Arial"/>
        <i/>
        <color theme="1"/>
        <sz val="10.0"/>
      </rPr>
      <t>s</t>
    </r>
    <r>
      <rPr>
        <rFont val="Arial"/>
        <i/>
        <color theme="1"/>
        <sz val="10.0"/>
        <vertAlign val="subscript"/>
      </rPr>
      <t>C</t>
    </r>
    <r>
      <rPr>
        <rFont val="Arial"/>
        <i/>
        <color theme="1"/>
        <sz val="10.0"/>
      </rPr>
      <t xml:space="preserve"> </t>
    </r>
    <r>
      <rPr>
        <rFont val="Arial"/>
        <i val="0"/>
        <color theme="1"/>
        <sz val="10.0"/>
      </rPr>
      <t xml:space="preserve">+ </t>
    </r>
    <r>
      <rPr>
        <rFont val="Arial"/>
        <i/>
        <color theme="1"/>
        <sz val="10.0"/>
      </rPr>
      <t>q</t>
    </r>
    <r>
      <rPr>
        <rFont val="Arial"/>
        <i/>
        <color theme="1"/>
        <sz val="10.0"/>
        <vertAlign val="subscript"/>
      </rPr>
      <t>0</t>
    </r>
  </si>
  <si>
    <r>
      <rPr>
        <rFont val="Arial"/>
        <color theme="1"/>
        <sz val="10.0"/>
      </rPr>
      <t>lbf/in.</t>
    </r>
    <r>
      <rPr>
        <rFont val="Arial"/>
        <color theme="1"/>
        <sz val="10.0"/>
        <vertAlign val="superscript"/>
      </rPr>
      <t>2</t>
    </r>
  </si>
  <si>
    <r>
      <rPr>
        <rFont val="Arial"/>
        <i/>
        <color theme="1"/>
        <sz val="10.0"/>
      </rPr>
      <t>S</t>
    </r>
    <r>
      <rPr>
        <rFont val="Arial"/>
        <i/>
        <color theme="1"/>
        <sz val="10.0"/>
        <vertAlign val="subscript"/>
      </rPr>
      <t>U</t>
    </r>
  </si>
  <si>
    <r>
      <rPr>
        <rFont val="Arial"/>
        <color theme="1"/>
        <sz val="10.0"/>
      </rPr>
      <t xml:space="preserve">Undrained shear strength for soil located between </t>
    </r>
    <r>
      <rPr>
        <rFont val="Arial"/>
        <i/>
        <color theme="1"/>
        <sz val="10.0"/>
      </rPr>
      <t>d</t>
    </r>
    <r>
      <rPr>
        <rFont val="Arial"/>
        <i/>
        <color theme="1"/>
        <sz val="10.0"/>
        <vertAlign val="subscript"/>
      </rPr>
      <t>F</t>
    </r>
    <r>
      <rPr>
        <rFont val="Arial"/>
        <color theme="1"/>
        <sz val="10.0"/>
      </rPr>
      <t xml:space="preserve"> and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xml:space="preserve">). Numerically equal to cohesion, </t>
    </r>
    <r>
      <rPr>
        <rFont val="Arial"/>
        <i/>
        <color theme="1"/>
        <sz val="10.0"/>
      </rPr>
      <t>c,</t>
    </r>
    <r>
      <rPr>
        <rFont val="Arial"/>
        <color theme="1"/>
        <sz val="10.0"/>
      </rPr>
      <t xml:space="preserve"> for a saturated clay soil</t>
    </r>
  </si>
  <si>
    <r>
      <rPr>
        <rFont val="Arial"/>
        <color theme="1"/>
        <sz val="10.0"/>
      </rPr>
      <t>lbf/in.</t>
    </r>
    <r>
      <rPr>
        <rFont val="Arial"/>
        <color theme="1"/>
        <sz val="10.0"/>
        <vertAlign val="superscript"/>
      </rPr>
      <t>2</t>
    </r>
  </si>
  <si>
    <r>
      <rPr>
        <rFont val="Arial"/>
        <i/>
        <color theme="1"/>
        <sz val="10.0"/>
      </rPr>
      <t>d</t>
    </r>
    <r>
      <rPr>
        <rFont val="Arial"/>
        <i/>
        <color theme="1"/>
        <sz val="10.0"/>
        <vertAlign val="subscript"/>
      </rPr>
      <t>c</t>
    </r>
  </si>
  <si>
    <t>depth factor for ultimate bearing strength of a cohesive soil based on the general bearing capacity equation</t>
  </si>
  <si>
    <r>
      <rPr>
        <rFont val="Arial"/>
        <color theme="1"/>
        <sz val="10.0"/>
      </rPr>
      <t xml:space="preserve">1 + 0.2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xml:space="preserve"> for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xml:space="preserve"> &lt; 2.5 else equal to 1.5</t>
    </r>
  </si>
  <si>
    <r>
      <rPr>
        <rFont val="Arial"/>
        <i/>
        <color theme="1"/>
        <sz val="10.0"/>
      </rPr>
      <t>N</t>
    </r>
    <r>
      <rPr>
        <rFont val="Arial"/>
        <i/>
        <color theme="1"/>
        <sz val="10.0"/>
        <vertAlign val="subscript"/>
      </rPr>
      <t>C</t>
    </r>
  </si>
  <si>
    <t>Bearing capacity factor that accounts for cohesion in the general bearing capacity equation</t>
  </si>
  <si>
    <r>
      <rPr>
        <rFont val="Arial"/>
        <color theme="1"/>
        <sz val="10.0"/>
      </rPr>
      <t xml:space="preserve">5.14 for </t>
    </r>
    <r>
      <rPr>
        <rFont val="Symbol"/>
        <color theme="1"/>
        <sz val="10.0"/>
      </rPr>
      <t>f</t>
    </r>
    <r>
      <rPr>
        <rFont val="Arial"/>
        <color theme="1"/>
        <sz val="10.0"/>
      </rPr>
      <t xml:space="preserve"> = 0</t>
    </r>
  </si>
  <si>
    <r>
      <rPr>
        <rFont val="Arial"/>
        <i/>
        <color theme="1"/>
        <sz val="10.0"/>
      </rPr>
      <t>s</t>
    </r>
    <r>
      <rPr>
        <rFont val="Arial"/>
        <i/>
        <color theme="1"/>
        <sz val="10.0"/>
        <vertAlign val="subscript"/>
      </rPr>
      <t>c</t>
    </r>
  </si>
  <si>
    <t>Shape factor for ultimate bearing strength of a cohesive soil based on the general bearing capacity equation</t>
  </si>
  <si>
    <t>1.2 for square and round footings</t>
  </si>
  <si>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Cohesionless Soils from the General Bearing Capacity Equation (Clause 10.4.1)</t>
    </r>
  </si>
  <si>
    <r>
      <rPr>
        <rFont val="Arial"/>
        <i/>
        <color theme="1"/>
        <sz val="10.0"/>
      </rPr>
      <t>q</t>
    </r>
    <r>
      <rPr>
        <rFont val="Arial"/>
        <i/>
        <color theme="1"/>
        <sz val="10.0"/>
        <vertAlign val="subscript"/>
      </rPr>
      <t>B</t>
    </r>
    <r>
      <rPr>
        <rFont val="Arial"/>
        <i/>
        <color theme="1"/>
        <sz val="10.0"/>
      </rPr>
      <t xml:space="preserve"> </t>
    </r>
  </si>
  <si>
    <r>
      <rPr>
        <rFont val="Arial"/>
        <i/>
        <color theme="1"/>
        <sz val="10.0"/>
      </rPr>
      <t>0.5</t>
    </r>
    <r>
      <rPr>
        <rFont val="Symbol"/>
        <i/>
        <color theme="1"/>
        <sz val="10.0"/>
      </rPr>
      <t>g</t>
    </r>
    <r>
      <rPr>
        <rFont val="Arial"/>
        <i/>
        <color theme="1"/>
        <sz val="10.0"/>
      </rPr>
      <t>BC</t>
    </r>
    <r>
      <rPr>
        <rFont val="Arial"/>
        <i/>
        <color theme="1"/>
        <sz val="10.0"/>
        <vertAlign val="subscript"/>
      </rPr>
      <t>W1</t>
    </r>
    <r>
      <rPr>
        <rFont val="Arial"/>
        <i/>
        <color theme="1"/>
        <sz val="10.0"/>
      </rPr>
      <t>N</t>
    </r>
    <r>
      <rPr>
        <rFont val="Symbol"/>
        <i/>
        <color theme="1"/>
        <sz val="10.0"/>
        <vertAlign val="subscript"/>
      </rPr>
      <t>g</t>
    </r>
    <r>
      <rPr>
        <rFont val="Arial"/>
        <i/>
        <color theme="1"/>
        <sz val="10.0"/>
      </rPr>
      <t>s</t>
    </r>
    <r>
      <rPr>
        <rFont val="Symbol"/>
        <i/>
        <color theme="1"/>
        <sz val="10.0"/>
        <vertAlign val="subscript"/>
      </rPr>
      <t>g</t>
    </r>
    <r>
      <rPr>
        <rFont val="Arial"/>
        <i/>
        <color theme="1"/>
        <sz val="10.0"/>
      </rPr>
      <t xml:space="preserve"> + q</t>
    </r>
    <r>
      <rPr>
        <rFont val="Arial"/>
        <i/>
        <color theme="1"/>
        <sz val="10.0"/>
        <vertAlign val="subscript"/>
      </rPr>
      <t>0</t>
    </r>
    <r>
      <rPr>
        <rFont val="Arial"/>
        <i/>
        <color theme="1"/>
        <sz val="10.0"/>
      </rPr>
      <t>C</t>
    </r>
    <r>
      <rPr>
        <rFont val="Arial"/>
        <i/>
        <color theme="1"/>
        <sz val="10.0"/>
        <vertAlign val="subscript"/>
      </rPr>
      <t>W2</t>
    </r>
    <r>
      <rPr>
        <rFont val="Arial"/>
        <i/>
        <color theme="1"/>
        <sz val="10.0"/>
      </rPr>
      <t>N</t>
    </r>
    <r>
      <rPr>
        <rFont val="Arial"/>
        <i/>
        <color theme="1"/>
        <sz val="10.0"/>
        <vertAlign val="subscript"/>
      </rPr>
      <t>q</t>
    </r>
    <r>
      <rPr>
        <rFont val="Arial"/>
        <i/>
        <color theme="1"/>
        <sz val="10.0"/>
      </rPr>
      <t>d</t>
    </r>
    <r>
      <rPr>
        <rFont val="Arial"/>
        <i/>
        <color theme="1"/>
        <sz val="10.0"/>
        <vertAlign val="subscript"/>
      </rPr>
      <t>q</t>
    </r>
    <r>
      <rPr>
        <rFont val="Arial"/>
        <i/>
        <color theme="1"/>
        <sz val="10.0"/>
      </rPr>
      <t>s</t>
    </r>
    <r>
      <rPr>
        <rFont val="Arial"/>
        <i/>
        <color theme="1"/>
        <sz val="10.0"/>
        <vertAlign val="subscript"/>
      </rPr>
      <t>q</t>
    </r>
  </si>
  <si>
    <r>
      <rPr>
        <rFont val="Arial"/>
        <color theme="1"/>
        <sz val="10.0"/>
      </rPr>
      <t>lbf/in.</t>
    </r>
    <r>
      <rPr>
        <rFont val="Arial"/>
        <color theme="1"/>
        <sz val="10.0"/>
        <vertAlign val="superscript"/>
      </rPr>
      <t>2</t>
    </r>
  </si>
  <si>
    <r>
      <rPr>
        <rFont val="Arial"/>
        <color theme="1"/>
        <sz val="10.0"/>
      </rPr>
      <t xml:space="preserve">Soil friction angle for soil located between </t>
    </r>
    <r>
      <rPr>
        <rFont val="Arial"/>
        <i/>
        <color theme="1"/>
        <sz val="10.0"/>
      </rPr>
      <t>d</t>
    </r>
    <r>
      <rPr>
        <rFont val="Arial"/>
        <i/>
        <color theme="1"/>
        <sz val="10.0"/>
        <vertAlign val="subscript"/>
      </rPr>
      <t>F</t>
    </r>
    <r>
      <rPr>
        <rFont val="Arial"/>
        <color theme="1"/>
        <sz val="10.0"/>
      </rPr>
      <t xml:space="preserve"> and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t>
    </r>
  </si>
  <si>
    <t>degrees</t>
  </si>
  <si>
    <r>
      <rPr>
        <rFont val="Arial"/>
        <i/>
        <color theme="1"/>
        <sz val="10.0"/>
      </rPr>
      <t>N</t>
    </r>
    <r>
      <rPr>
        <rFont val="Arial"/>
        <i/>
        <color theme="1"/>
        <sz val="10.0"/>
        <vertAlign val="subscript"/>
      </rPr>
      <t>q</t>
    </r>
  </si>
  <si>
    <t>Bearing capacity factor that accounts for surcharge pressures in the general bearing capacity equation</t>
  </si>
  <si>
    <r>
      <rPr>
        <rFont val="Arial"/>
        <color theme="1"/>
        <sz val="10.0"/>
      </rPr>
      <t>exp (</t>
    </r>
    <r>
      <rPr>
        <rFont val="Symbol"/>
        <color theme="1"/>
        <sz val="10.0"/>
      </rPr>
      <t xml:space="preserve">p </t>
    </r>
    <r>
      <rPr>
        <rFont val="Arial"/>
        <color theme="1"/>
        <sz val="10.0"/>
      </rPr>
      <t>tan</t>
    </r>
    <r>
      <rPr>
        <rFont val="Symbol"/>
        <i/>
        <color theme="1"/>
        <sz val="10.0"/>
      </rPr>
      <t>f</t>
    </r>
    <r>
      <rPr>
        <rFont val="Arial"/>
        <color theme="1"/>
        <sz val="10.0"/>
      </rPr>
      <t>) tan</t>
    </r>
    <r>
      <rPr>
        <rFont val="Arial"/>
        <color theme="1"/>
        <sz val="10.0"/>
        <vertAlign val="superscript"/>
      </rPr>
      <t>2</t>
    </r>
    <r>
      <rPr>
        <rFont val="Arial"/>
        <color theme="1"/>
        <sz val="10.0"/>
      </rPr>
      <t>(45+</t>
    </r>
    <r>
      <rPr>
        <rFont val="Symbol"/>
        <i/>
        <color theme="1"/>
        <sz val="10.0"/>
      </rPr>
      <t>f</t>
    </r>
    <r>
      <rPr>
        <rFont val="Arial"/>
        <color theme="1"/>
        <sz val="10.0"/>
      </rPr>
      <t>/2)</t>
    </r>
  </si>
  <si>
    <r>
      <rPr>
        <rFont val="Arial"/>
        <i/>
        <color theme="1"/>
        <sz val="10.0"/>
      </rPr>
      <t>N</t>
    </r>
    <r>
      <rPr>
        <rFont val="Arial"/>
        <i/>
        <color theme="1"/>
        <sz val="10.0"/>
        <vertAlign val="subscript"/>
      </rPr>
      <t>γ</t>
    </r>
  </si>
  <si>
    <r>
      <rPr>
        <rFont val="Arial"/>
        <b/>
        <color theme="1"/>
        <sz val="10.0"/>
      </rPr>
      <t>B</t>
    </r>
    <r>
      <rPr>
        <rFont val="Arial"/>
        <b val="0"/>
        <color theme="1"/>
        <sz val="10.0"/>
      </rPr>
      <t>earing capacity factor that accounts for soil unit weight in the general bearing capacity equation</t>
    </r>
  </si>
  <si>
    <r>
      <rPr>
        <rFont val="Arial"/>
        <color theme="1"/>
        <sz val="10.0"/>
      </rPr>
      <t>2 (</t>
    </r>
    <r>
      <rPr>
        <rFont val="Arial"/>
        <i/>
        <color theme="1"/>
        <sz val="10.0"/>
      </rPr>
      <t>N</t>
    </r>
    <r>
      <rPr>
        <rFont val="Arial"/>
        <i/>
        <color theme="1"/>
        <sz val="10.0"/>
        <vertAlign val="subscript"/>
      </rPr>
      <t>q</t>
    </r>
    <r>
      <rPr>
        <rFont val="Arial"/>
        <color theme="1"/>
        <sz val="10.0"/>
      </rPr>
      <t xml:space="preserve"> +1) tan</t>
    </r>
    <r>
      <rPr>
        <rFont val="Arial"/>
        <i/>
        <color theme="1"/>
        <sz val="10.0"/>
      </rPr>
      <t xml:space="preserve"> </t>
    </r>
    <r>
      <rPr>
        <rFont val="Symbol"/>
        <i/>
        <color theme="1"/>
        <sz val="10.0"/>
      </rPr>
      <t>f</t>
    </r>
  </si>
  <si>
    <r>
      <rPr>
        <rFont val="Arial"/>
        <i/>
        <color theme="1"/>
        <sz val="10.0"/>
      </rPr>
      <t>s</t>
    </r>
    <r>
      <rPr>
        <rFont val="Arial"/>
        <i/>
        <color theme="1"/>
        <sz val="10.0"/>
        <vertAlign val="subscript"/>
      </rPr>
      <t>γ</t>
    </r>
  </si>
  <si>
    <t>Shape factor for ultimate bearing strength of a cohesionless soil based on the general bearing capacity equation</t>
  </si>
  <si>
    <t>0.6 for square and round footings</t>
  </si>
  <si>
    <r>
      <rPr>
        <rFont val="Arial"/>
        <i/>
        <color theme="1"/>
        <sz val="10.0"/>
      </rPr>
      <t>s</t>
    </r>
    <r>
      <rPr>
        <rFont val="Arial"/>
        <i/>
        <color theme="1"/>
        <sz val="10.0"/>
        <vertAlign val="subscript"/>
      </rPr>
      <t>q</t>
    </r>
  </si>
  <si>
    <r>
      <rPr>
        <rFont val="Arial"/>
        <color theme="1"/>
        <sz val="10.0"/>
      </rPr>
      <t>1 + tan</t>
    </r>
    <r>
      <rPr>
        <rFont val="Symbol"/>
        <i/>
        <color theme="1"/>
        <sz val="10.0"/>
      </rPr>
      <t xml:space="preserve"> f </t>
    </r>
    <r>
      <rPr>
        <rFont val="Arial"/>
        <color theme="1"/>
        <sz val="10.0"/>
      </rPr>
      <t>for square and round footings</t>
    </r>
  </si>
  <si>
    <r>
      <rPr>
        <rFont val="Arial"/>
        <i/>
        <color theme="1"/>
        <sz val="10.0"/>
      </rPr>
      <t>d</t>
    </r>
    <r>
      <rPr>
        <rFont val="Arial"/>
        <i/>
        <color theme="1"/>
        <sz val="10.0"/>
        <vertAlign val="subscript"/>
      </rPr>
      <t>q</t>
    </r>
  </si>
  <si>
    <t>Depth factor for ultimate bearing strength of a cohesionless soil based on the general bearing capacity equation</t>
  </si>
  <si>
    <r>
      <rPr>
        <rFont val="Arial"/>
        <color theme="1"/>
        <sz val="10.0"/>
      </rPr>
      <t>1 + 2 tan</t>
    </r>
    <r>
      <rPr>
        <rFont val="Symbol"/>
        <i/>
        <color theme="1"/>
        <sz val="10.0"/>
      </rPr>
      <t xml:space="preserve"> f </t>
    </r>
    <r>
      <rPr>
        <rFont val="Arial"/>
        <color theme="1"/>
        <sz val="10.0"/>
      </rPr>
      <t>(1-sin</t>
    </r>
    <r>
      <rPr>
        <rFont val="Symbol"/>
        <i/>
        <color theme="1"/>
        <sz val="10.0"/>
      </rPr>
      <t>f</t>
    </r>
    <r>
      <rPr>
        <rFont val="Arial"/>
        <color theme="1"/>
        <sz val="10.0"/>
      </rPr>
      <t>)</t>
    </r>
    <r>
      <rPr>
        <rFont val="Arial"/>
        <color theme="1"/>
        <sz val="10.0"/>
        <vertAlign val="superscript"/>
      </rPr>
      <t>2</t>
    </r>
    <r>
      <rPr>
        <rFont val="Arial"/>
        <color theme="1"/>
        <sz val="10.0"/>
      </rPr>
      <t xml:space="preserve"> tan</t>
    </r>
    <r>
      <rPr>
        <rFont val="Arial"/>
        <color theme="1"/>
        <sz val="10.0"/>
        <vertAlign val="superscript"/>
      </rPr>
      <t>-1</t>
    </r>
    <r>
      <rPr>
        <rFont val="Arial"/>
        <color theme="1"/>
        <sz val="10.0"/>
      </rPr>
      <t>(d</t>
    </r>
    <r>
      <rPr>
        <rFont val="Arial"/>
        <color theme="1"/>
        <sz val="10.0"/>
        <vertAlign val="subscript"/>
      </rPr>
      <t>F</t>
    </r>
    <r>
      <rPr>
        <rFont val="Arial"/>
        <color theme="1"/>
        <sz val="10.0"/>
      </rPr>
      <t>/B)</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</si>
  <si>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Sands from Standard Penetration Test (SPT) Results (Clause 10.4.2)</t>
    </r>
  </si>
  <si>
    <r>
      <rPr>
        <rFont val="Arial"/>
        <i/>
        <color theme="1"/>
        <sz val="10.0"/>
      </rPr>
      <t>q</t>
    </r>
    <r>
      <rPr>
        <rFont val="Arial"/>
        <i/>
        <color theme="1"/>
        <sz val="10.0"/>
        <vertAlign val="subscript"/>
      </rPr>
      <t>B</t>
    </r>
    <r>
      <rPr>
        <rFont val="Arial"/>
        <i/>
        <color theme="1"/>
        <sz val="10.0"/>
      </rPr>
      <t xml:space="preserve"> </t>
    </r>
  </si>
  <si>
    <r>
      <rPr>
        <rFont val="Arial"/>
        <i/>
        <color theme="1"/>
        <sz val="10.0"/>
      </rPr>
      <t>(N</t>
    </r>
    <r>
      <rPr>
        <rFont val="Arial"/>
        <i/>
        <color theme="1"/>
        <sz val="10.0"/>
        <vertAlign val="subscript"/>
      </rPr>
      <t>1</t>
    </r>
    <r>
      <rPr>
        <rFont val="Arial"/>
        <i/>
        <color theme="1"/>
        <sz val="10.0"/>
      </rPr>
      <t>)</t>
    </r>
    <r>
      <rPr>
        <rFont val="Arial"/>
        <i/>
        <color theme="1"/>
        <sz val="10.0"/>
        <vertAlign val="subscript"/>
      </rPr>
      <t>60</t>
    </r>
    <r>
      <rPr>
        <rFont val="Arial"/>
        <i/>
        <color theme="1"/>
        <sz val="10.0"/>
      </rPr>
      <t>C</t>
    </r>
    <r>
      <rPr>
        <rFont val="Arial"/>
        <i/>
        <color theme="1"/>
        <sz val="10.0"/>
        <vertAlign val="subscript"/>
      </rPr>
      <t>SPT</t>
    </r>
    <r>
      <rPr>
        <rFont val="Arial"/>
        <i/>
        <color theme="1"/>
        <sz val="10.0"/>
      </rPr>
      <t>B</t>
    </r>
    <r>
      <rPr>
        <rFont val="Arial"/>
        <i val="0"/>
        <color theme="1"/>
        <sz val="10.0"/>
      </rPr>
      <t>(</t>
    </r>
    <r>
      <rPr>
        <rFont val="Arial"/>
        <i/>
        <color theme="1"/>
        <sz val="10.0"/>
      </rPr>
      <t>C</t>
    </r>
    <r>
      <rPr>
        <rFont val="Arial"/>
        <i/>
        <color theme="1"/>
        <sz val="10.0"/>
        <vertAlign val="subscript"/>
      </rPr>
      <t>W1</t>
    </r>
    <r>
      <rPr>
        <rFont val="Arial"/>
        <i/>
        <color theme="1"/>
        <sz val="10.0"/>
      </rPr>
      <t xml:space="preserve"> + C</t>
    </r>
    <r>
      <rPr>
        <rFont val="Arial"/>
        <i/>
        <color theme="1"/>
        <sz val="10.0"/>
        <vertAlign val="subscript"/>
      </rPr>
      <t>W2</t>
    </r>
    <r>
      <rPr>
        <rFont val="Arial"/>
        <i/>
        <color theme="1"/>
        <sz val="10.0"/>
      </rPr>
      <t>d</t>
    </r>
    <r>
      <rPr>
        <rFont val="Arial"/>
        <i/>
        <color theme="1"/>
        <sz val="10.0"/>
        <vertAlign val="subscript"/>
      </rPr>
      <t>F</t>
    </r>
    <r>
      <rPr>
        <rFont val="Arial"/>
        <i/>
        <color theme="1"/>
        <sz val="10.0"/>
      </rPr>
      <t>/B</t>
    </r>
    <r>
      <rPr>
        <rFont val="Arial"/>
        <i val="0"/>
        <color theme="1"/>
        <sz val="10.0"/>
      </rPr>
      <t>)</t>
    </r>
  </si>
  <si>
    <r>
      <rPr>
        <rFont val="Arial"/>
        <color theme="1"/>
        <sz val="10.0"/>
      </rPr>
      <t>lbf/in.</t>
    </r>
    <r>
      <rPr>
        <rFont val="Arial"/>
        <color theme="1"/>
        <sz val="10.0"/>
        <vertAlign val="superscript"/>
      </rPr>
      <t>2</t>
    </r>
  </si>
  <si>
    <r>
      <rPr>
        <rFont val="Arial"/>
        <i/>
        <color theme="1"/>
        <sz val="10.0"/>
      </rPr>
      <t>N</t>
    </r>
    <r>
      <rPr>
        <rFont val="Arial"/>
        <i/>
        <color theme="1"/>
        <sz val="10.0"/>
        <vertAlign val="subscript"/>
      </rPr>
      <t>SPT</t>
    </r>
  </si>
  <si>
    <r>
      <rPr>
        <rFont val="Arial"/>
        <color theme="1"/>
        <sz val="10.0"/>
      </rPr>
      <t xml:space="preserve">SPT blow count as recorded during test.  Should be taken between </t>
    </r>
    <r>
      <rPr>
        <rFont val="Arial"/>
        <i/>
        <color theme="1"/>
        <sz val="10.0"/>
      </rPr>
      <t>d</t>
    </r>
    <r>
      <rPr>
        <rFont val="Arial"/>
        <i/>
        <color theme="1"/>
        <sz val="10.0"/>
        <vertAlign val="subscript"/>
      </rPr>
      <t>F</t>
    </r>
    <r>
      <rPr>
        <rFont val="Arial"/>
        <color theme="1"/>
        <sz val="10.0"/>
      </rPr>
      <t xml:space="preserve"> and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t>
    </r>
  </si>
  <si>
    <t>Blows per 12 in.</t>
  </si>
  <si>
    <r>
      <rPr>
        <rFont val="Arial"/>
        <i/>
        <color theme="1"/>
        <sz val="10.0"/>
      </rPr>
      <t>d</t>
    </r>
    <r>
      <rPr>
        <rFont val="Arial"/>
        <i/>
        <color theme="1"/>
        <sz val="10.0"/>
        <vertAlign val="subscript"/>
      </rPr>
      <t>S</t>
    </r>
  </si>
  <si>
    <r>
      <rPr>
        <rFont val="Arial"/>
        <color theme="1"/>
        <sz val="10.0"/>
      </rPr>
      <t xml:space="preserve">Depth at which SPT count started (should be near </t>
    </r>
    <r>
      <rPr>
        <rFont val="Arial"/>
        <i/>
        <color theme="1"/>
        <sz val="10.0"/>
      </rPr>
      <t>d</t>
    </r>
    <r>
      <rPr>
        <rFont val="Arial"/>
        <i/>
        <color theme="1"/>
        <sz val="10.0"/>
        <vertAlign val="subscript"/>
      </rPr>
      <t>F</t>
    </r>
    <r>
      <rPr>
        <rFont val="Arial"/>
        <color theme="1"/>
        <sz val="10.0"/>
      </rPr>
      <t>)</t>
    </r>
  </si>
  <si>
    <r>
      <rPr>
        <rFont val="Arial"/>
        <i/>
        <color theme="1"/>
        <sz val="10.0"/>
      </rPr>
      <t>N</t>
    </r>
    <r>
      <rPr>
        <rFont val="Arial"/>
        <i/>
        <color theme="1"/>
        <sz val="10.0"/>
        <vertAlign val="subscript"/>
      </rPr>
      <t>60</t>
    </r>
  </si>
  <si>
    <r>
      <rPr>
        <rFont val="Arial"/>
        <i/>
        <color theme="1"/>
        <sz val="10.0"/>
      </rPr>
      <t>N</t>
    </r>
    <r>
      <rPr>
        <rFont val="Arial"/>
        <i/>
        <color theme="1"/>
        <sz val="10.0"/>
        <vertAlign val="subscript"/>
      </rPr>
      <t>SPT</t>
    </r>
    <r>
      <rPr>
        <rFont val="Arial"/>
        <i val="0"/>
        <color theme="1"/>
        <sz val="10.0"/>
      </rPr>
      <t xml:space="preserve"> blow count corrected for field procedures and equipment</t>
    </r>
  </si>
  <si>
    <r>
      <rPr>
        <rFont val="Arial"/>
        <i/>
        <color theme="1"/>
        <sz val="10.0"/>
      </rPr>
      <t>(N</t>
    </r>
    <r>
      <rPr>
        <rFont val="Arial"/>
        <i/>
        <color theme="1"/>
        <sz val="10.0"/>
        <vertAlign val="subscript"/>
      </rPr>
      <t>1</t>
    </r>
    <r>
      <rPr>
        <rFont val="Arial"/>
        <i/>
        <color theme="1"/>
        <sz val="10.0"/>
      </rPr>
      <t>)</t>
    </r>
    <r>
      <rPr>
        <rFont val="Arial"/>
        <i/>
        <color theme="1"/>
        <sz val="10.0"/>
        <vertAlign val="subscript"/>
      </rPr>
      <t>60</t>
    </r>
  </si>
  <si>
    <r>
      <rPr>
        <rFont val="Arial"/>
        <i/>
        <color theme="1"/>
        <sz val="10.0"/>
      </rPr>
      <t>N</t>
    </r>
    <r>
      <rPr>
        <rFont val="Arial"/>
        <i/>
        <color theme="1"/>
        <sz val="10.0"/>
        <vertAlign val="subscript"/>
      </rPr>
      <t>60</t>
    </r>
    <r>
      <rPr>
        <rFont val="Arial"/>
        <i val="0"/>
        <color theme="1"/>
        <sz val="10.0"/>
      </rPr>
      <t xml:space="preserve"> blow count normalized with respect to vertical effective stress</t>
    </r>
  </si>
  <si>
    <r>
      <rPr>
        <rFont val="Arial"/>
        <i/>
        <color theme="1"/>
        <sz val="10.0"/>
      </rPr>
      <t>N</t>
    </r>
    <r>
      <rPr>
        <rFont val="Arial"/>
        <i/>
        <color theme="1"/>
        <sz val="10.0"/>
        <vertAlign val="subscript"/>
      </rPr>
      <t>60</t>
    </r>
    <r>
      <rPr>
        <rFont val="Arial"/>
        <i val="0"/>
        <color theme="1"/>
        <sz val="10.0"/>
        <vertAlign val="subscript"/>
      </rPr>
      <t xml:space="preserve"> </t>
    </r>
    <r>
      <rPr>
        <rFont val="Arial"/>
        <i val="0"/>
        <color theme="1"/>
        <sz val="10.0"/>
      </rPr>
      <t>(</t>
    </r>
    <r>
      <rPr>
        <rFont val="Arial"/>
        <i/>
        <color theme="1"/>
        <sz val="10.0"/>
      </rPr>
      <t>p</t>
    </r>
    <r>
      <rPr>
        <rFont val="Arial"/>
        <i/>
        <color theme="1"/>
        <sz val="10.0"/>
        <vertAlign val="subscript"/>
      </rPr>
      <t>A</t>
    </r>
    <r>
      <rPr>
        <rFont val="Arial"/>
        <i val="0"/>
        <color theme="1"/>
        <sz val="10.0"/>
      </rPr>
      <t>/</t>
    </r>
    <r>
      <rPr>
        <rFont val="Symbol"/>
        <i/>
        <color theme="1"/>
        <sz val="10.0"/>
      </rPr>
      <t>s</t>
    </r>
    <r>
      <rPr>
        <rFont val="Arial"/>
        <i/>
        <color theme="1"/>
        <sz val="10.0"/>
      </rPr>
      <t>'</t>
    </r>
    <r>
      <rPr>
        <rFont val="Arial"/>
        <i/>
        <color theme="1"/>
        <sz val="10.0"/>
        <vertAlign val="subscript"/>
      </rPr>
      <t>v</t>
    </r>
    <r>
      <rPr>
        <rFont val="Arial"/>
        <i val="0"/>
        <color theme="1"/>
        <sz val="10.0"/>
      </rPr>
      <t>)</t>
    </r>
    <r>
      <rPr>
        <rFont val="Arial"/>
        <i val="0"/>
        <color theme="1"/>
        <sz val="10.0"/>
        <vertAlign val="superscript"/>
      </rPr>
      <t>0.5</t>
    </r>
  </si>
  <si>
    <r>
      <rPr>
        <rFont val="Arial"/>
        <i/>
        <color theme="1"/>
        <sz val="10.0"/>
      </rPr>
      <t>p</t>
    </r>
    <r>
      <rPr>
        <rFont val="Arial"/>
        <i/>
        <color theme="1"/>
        <sz val="10.0"/>
        <vertAlign val="subscript"/>
      </rPr>
      <t>A</t>
    </r>
  </si>
  <si>
    <t>Atmospheric pressure</t>
  </si>
  <si>
    <r>
      <rPr>
        <rFont val="Arial"/>
        <color theme="1"/>
        <sz val="10.0"/>
      </rPr>
      <t>lbf/in.</t>
    </r>
    <r>
      <rPr>
        <rFont val="Arial"/>
        <color theme="1"/>
        <sz val="10.0"/>
        <vertAlign val="superscript"/>
      </rPr>
      <t>2</t>
    </r>
  </si>
  <si>
    <r>
      <rPr>
        <rFont val="Noto Sans Symbols"/>
        <i/>
        <color theme="1"/>
        <sz val="10.0"/>
      </rPr>
      <t>s</t>
    </r>
    <r>
      <rPr>
        <rFont val="Arial"/>
        <i/>
        <color theme="1"/>
        <sz val="10.0"/>
      </rPr>
      <t>'</t>
    </r>
    <r>
      <rPr>
        <rFont val="Arial"/>
        <i/>
        <color theme="1"/>
        <sz val="10.0"/>
        <vertAlign val="subscript"/>
      </rPr>
      <t>v</t>
    </r>
  </si>
  <si>
    <t>Effective vertical stress at depth where sample was recovered</t>
  </si>
  <si>
    <r>
      <rPr>
        <rFont val="Arial"/>
        <color theme="1"/>
        <sz val="10.0"/>
      </rPr>
      <t>lbf/in.</t>
    </r>
    <r>
      <rPr>
        <rFont val="Arial"/>
        <color theme="1"/>
        <sz val="10.0"/>
        <vertAlign val="superscript"/>
      </rPr>
      <t>2</t>
    </r>
  </si>
  <si>
    <r>
      <rPr>
        <rFont val="Arial"/>
        <i/>
        <color theme="1"/>
        <sz val="10.0"/>
      </rPr>
      <t>C</t>
    </r>
    <r>
      <rPr>
        <rFont val="Arial"/>
        <i/>
        <color theme="1"/>
        <sz val="10.0"/>
        <vertAlign val="subscript"/>
      </rPr>
      <t>SPT</t>
    </r>
  </si>
  <si>
    <t>Constant relating SPT blow counts to bearing resistance</t>
  </si>
  <si>
    <r>
      <rPr>
        <rFont val="Arial"/>
        <color theme="1"/>
        <sz val="10.0"/>
      </rPr>
      <t>lbf/in.</t>
    </r>
    <r>
      <rPr>
        <rFont val="Arial"/>
        <color theme="1"/>
        <sz val="10.0"/>
        <vertAlign val="superscript"/>
      </rPr>
      <t>3</t>
    </r>
  </si>
  <si>
    <r>
      <rPr>
        <rFont val="Arial"/>
        <color theme="1"/>
        <sz val="10.0"/>
      </rPr>
      <t>The SPT blow count, N</t>
    </r>
    <r>
      <rPr>
        <rFont val="Arial"/>
        <color theme="1"/>
        <sz val="10.0"/>
        <vertAlign val="subscript"/>
      </rPr>
      <t>SPT</t>
    </r>
    <r>
      <rPr>
        <rFont val="Arial"/>
        <color theme="1"/>
        <sz val="10.0"/>
      </rPr>
      <t xml:space="preserve"> is determined for clayey soils in accordance with ASTM D1586 and for sandy soils in accordance with ASTM D6066.  The SPT blow count value designated as </t>
    </r>
    <r>
      <rPr>
        <rFont val="Arial"/>
        <i/>
        <color theme="1"/>
        <sz val="10.0"/>
      </rPr>
      <t>N</t>
    </r>
    <r>
      <rPr>
        <rFont val="Arial"/>
        <i/>
        <color theme="1"/>
        <sz val="10.0"/>
        <vertAlign val="subscript"/>
      </rPr>
      <t>60</t>
    </r>
    <r>
      <rPr>
        <rFont val="Arial"/>
        <i/>
        <color theme="1"/>
        <sz val="10.0"/>
      </rPr>
      <t xml:space="preserve"> </t>
    </r>
    <r>
      <rPr>
        <rFont val="Arial"/>
        <color theme="1"/>
        <sz val="10.0"/>
      </rPr>
      <t xml:space="preserve">is obtained by multiplying </t>
    </r>
    <r>
      <rPr>
        <rFont val="Arial"/>
        <i/>
        <color theme="1"/>
        <sz val="10.0"/>
      </rPr>
      <t>N</t>
    </r>
    <r>
      <rPr>
        <rFont val="Arial"/>
        <i/>
        <color theme="1"/>
        <sz val="10.0"/>
        <vertAlign val="subscript"/>
      </rPr>
      <t>SPT</t>
    </r>
    <r>
      <rPr>
        <rFont val="Arial"/>
        <color theme="1"/>
        <sz val="10.0"/>
      </rPr>
      <t xml:space="preserve"> (i.e., the raw SPT blow count recorded in the field) by factors that adjust for hammer efficiency, sample barrel size, borehole diameter and rod length.  The symbol</t>
    </r>
    <r>
      <rPr>
        <rFont val="Arial"/>
        <i/>
        <color theme="1"/>
        <sz val="10.0"/>
      </rPr>
      <t xml:space="preserve"> (N</t>
    </r>
    <r>
      <rPr>
        <rFont val="Arial"/>
        <i/>
        <color theme="1"/>
        <sz val="10.0"/>
        <vertAlign val="subscript"/>
      </rPr>
      <t>1</t>
    </r>
    <r>
      <rPr>
        <rFont val="Arial"/>
        <i/>
        <color theme="1"/>
        <sz val="10.0"/>
      </rPr>
      <t>)</t>
    </r>
    <r>
      <rPr>
        <rFont val="Arial"/>
        <i/>
        <color theme="1"/>
        <sz val="10.0"/>
        <vertAlign val="subscript"/>
      </rPr>
      <t>60</t>
    </r>
    <r>
      <rPr>
        <rFont val="Arial"/>
        <color theme="1"/>
        <sz val="10.0"/>
      </rPr>
      <t xml:space="preserve"> is used to identify an N</t>
    </r>
    <r>
      <rPr>
        <rFont val="Arial"/>
        <color theme="1"/>
        <sz val="10.0"/>
        <vertAlign val="subscript"/>
      </rPr>
      <t>60</t>
    </r>
    <r>
      <rPr>
        <rFont val="Arial"/>
        <color theme="1"/>
        <sz val="10.0"/>
      </rPr>
      <t xml:space="preserve">, value that has been further adjusted to account for overburden pressure. The overburden correction factor is from Liao and Whitman (1986). A detailed discussion of how to calculate </t>
    </r>
    <r>
      <rPr>
        <rFont val="Arial"/>
        <i/>
        <color theme="1"/>
        <sz val="10.0"/>
      </rPr>
      <t>(N</t>
    </r>
    <r>
      <rPr>
        <rFont val="Arial"/>
        <i/>
        <color theme="1"/>
        <sz val="10.0"/>
        <vertAlign val="subscript"/>
      </rPr>
      <t>1</t>
    </r>
    <r>
      <rPr>
        <rFont val="Arial"/>
        <i/>
        <color theme="1"/>
        <sz val="10.0"/>
      </rPr>
      <t>)</t>
    </r>
    <r>
      <rPr>
        <rFont val="Arial"/>
        <i/>
        <color theme="1"/>
        <sz val="10.0"/>
        <vertAlign val="subscript"/>
      </rPr>
      <t>60</t>
    </r>
    <r>
      <rPr>
        <rFont val="Arial"/>
        <color theme="1"/>
        <sz val="10.0"/>
      </rPr>
      <t>, including correction factor values was published by the NCEER (1997).</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</si>
  <si>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Saturated Clay Soils from Cone Penetration Test (CPT) Results (Clause 10.4.3)</t>
    </r>
  </si>
  <si>
    <r>
      <rPr>
        <rFont val="Arial"/>
        <i/>
        <color theme="1"/>
        <sz val="10.0"/>
      </rPr>
      <t>q</t>
    </r>
    <r>
      <rPr>
        <rFont val="Arial"/>
        <i/>
        <color theme="1"/>
        <sz val="10.0"/>
        <vertAlign val="subscript"/>
      </rPr>
      <t>B</t>
    </r>
    <r>
      <rPr>
        <rFont val="Arial"/>
        <i/>
        <color theme="1"/>
        <sz val="10.0"/>
      </rPr>
      <t xml:space="preserve"> </t>
    </r>
  </si>
  <si>
    <r>
      <rPr>
        <rFont val="Arial"/>
        <i/>
        <color theme="1"/>
        <sz val="10.0"/>
      </rPr>
      <t>C</t>
    </r>
    <r>
      <rPr>
        <rFont val="Arial"/>
        <i/>
        <color theme="1"/>
        <sz val="10.0"/>
        <vertAlign val="subscript"/>
      </rPr>
      <t>CPT1</t>
    </r>
    <r>
      <rPr>
        <rFont val="Arial"/>
        <i val="0"/>
        <color theme="1"/>
        <sz val="10.0"/>
      </rPr>
      <t xml:space="preserve"> +</t>
    </r>
    <r>
      <rPr>
        <rFont val="Arial"/>
        <i/>
        <color theme="1"/>
        <sz val="10.0"/>
      </rPr>
      <t xml:space="preserve"> q</t>
    </r>
    <r>
      <rPr>
        <rFont val="Arial"/>
        <i/>
        <color theme="1"/>
        <sz val="10.0"/>
        <vertAlign val="subscript"/>
      </rPr>
      <t>cr</t>
    </r>
    <r>
      <rPr>
        <rFont val="Arial"/>
        <i val="0"/>
        <color theme="1"/>
        <sz val="10.0"/>
      </rPr>
      <t>/3</t>
    </r>
  </si>
  <si>
    <r>
      <rPr>
        <rFont val="Arial"/>
        <color theme="1"/>
        <sz val="10.0"/>
      </rPr>
      <t>lbf/in.</t>
    </r>
    <r>
      <rPr>
        <rFont val="Arial"/>
        <color theme="1"/>
        <sz val="10.0"/>
        <vertAlign val="superscript"/>
      </rPr>
      <t>2</t>
    </r>
  </si>
  <si>
    <r>
      <rPr>
        <rFont val="Arial"/>
        <i/>
        <color theme="1"/>
        <sz val="10.0"/>
      </rPr>
      <t>q</t>
    </r>
    <r>
      <rPr>
        <rFont val="Arial"/>
        <i/>
        <color theme="1"/>
        <sz val="10.0"/>
        <vertAlign val="subscript"/>
      </rPr>
      <t>cr</t>
    </r>
  </si>
  <si>
    <r>
      <rPr>
        <rFont val="Arial"/>
        <color theme="1"/>
        <sz val="10.0"/>
      </rPr>
      <t xml:space="preserve">Average cone penetration resistance within a depth </t>
    </r>
    <r>
      <rPr>
        <rFont val="Arial"/>
        <i/>
        <color theme="1"/>
        <sz val="10.0"/>
      </rPr>
      <t>B</t>
    </r>
    <r>
      <rPr>
        <rFont val="Arial"/>
        <color theme="1"/>
        <sz val="10.0"/>
      </rPr>
      <t xml:space="preserve"> below the bottom of the footing. Cone penetration resistance is equal to the vertical force applied to the cone divided by its horizontally projected area</t>
    </r>
  </si>
  <si>
    <r>
      <rPr>
        <rFont val="Arial"/>
        <color theme="1"/>
        <sz val="10.0"/>
      </rPr>
      <t>lbf/in.</t>
    </r>
    <r>
      <rPr>
        <rFont val="Arial"/>
        <color theme="1"/>
        <sz val="10.0"/>
        <vertAlign val="superscript"/>
      </rPr>
      <t>2</t>
    </r>
  </si>
  <si>
    <r>
      <rPr>
        <rFont val="Arial"/>
        <i/>
        <color theme="1"/>
        <sz val="10.0"/>
      </rPr>
      <t>C</t>
    </r>
    <r>
      <rPr>
        <rFont val="Arial"/>
        <i/>
        <color theme="1"/>
        <sz val="10.0"/>
        <vertAlign val="subscript"/>
      </rPr>
      <t>CPT1</t>
    </r>
  </si>
  <si>
    <t>Constant relating CPT blow counts to bearing resistance</t>
  </si>
  <si>
    <r>
      <rPr>
        <rFont val="Arial"/>
        <color theme="1"/>
        <sz val="10.0"/>
      </rPr>
      <t>lbf/in</t>
    </r>
    <r>
      <rPr>
        <rFont val="Arial"/>
        <color theme="1"/>
        <sz val="10.0"/>
        <vertAlign val="superscript"/>
      </rPr>
      <t>2</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</si>
  <si>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Cohesionless Soils from Cone Penetration Test (CPT) Results (Clause 10.4.3)</t>
    </r>
  </si>
  <si>
    <r>
      <rPr>
        <rFont val="Arial"/>
        <i/>
        <color theme="1"/>
        <sz val="10.0"/>
      </rPr>
      <t>q</t>
    </r>
    <r>
      <rPr>
        <rFont val="Arial"/>
        <i/>
        <color theme="1"/>
        <sz val="10.0"/>
        <vertAlign val="subscript"/>
      </rPr>
      <t>B</t>
    </r>
    <r>
      <rPr>
        <rFont val="Arial"/>
        <i/>
        <color theme="1"/>
        <sz val="10.0"/>
      </rPr>
      <t xml:space="preserve"> </t>
    </r>
  </si>
  <si>
    <r>
      <rPr>
        <rFont val="Arial"/>
        <i/>
        <color theme="1"/>
        <sz val="10.0"/>
      </rPr>
      <t>q</t>
    </r>
    <r>
      <rPr>
        <rFont val="Arial"/>
        <i/>
        <color theme="1"/>
        <sz val="10.0"/>
        <vertAlign val="subscript"/>
      </rPr>
      <t>cr</t>
    </r>
    <r>
      <rPr>
        <rFont val="Arial"/>
        <i/>
        <color theme="1"/>
        <sz val="10.0"/>
      </rPr>
      <t>B</t>
    </r>
    <r>
      <rPr>
        <rFont val="Arial"/>
        <i val="0"/>
        <color theme="1"/>
        <sz val="10.0"/>
      </rPr>
      <t>(</t>
    </r>
    <r>
      <rPr>
        <rFont val="Arial"/>
        <i/>
        <color theme="1"/>
        <sz val="10.0"/>
      </rPr>
      <t>C</t>
    </r>
    <r>
      <rPr>
        <rFont val="Arial"/>
        <i/>
        <color theme="1"/>
        <sz val="10.0"/>
        <vertAlign val="subscript"/>
      </rPr>
      <t>W1</t>
    </r>
    <r>
      <rPr>
        <rFont val="Arial"/>
        <i/>
        <color theme="1"/>
        <sz val="10.0"/>
      </rPr>
      <t xml:space="preserve"> +C</t>
    </r>
    <r>
      <rPr>
        <rFont val="Arial"/>
        <i/>
        <color theme="1"/>
        <sz val="10.0"/>
        <vertAlign val="subscript"/>
      </rPr>
      <t>W2</t>
    </r>
    <r>
      <rPr>
        <rFont val="Arial"/>
        <i/>
        <color theme="1"/>
        <sz val="10.0"/>
      </rPr>
      <t>d</t>
    </r>
    <r>
      <rPr>
        <rFont val="Arial"/>
        <i/>
        <color theme="1"/>
        <sz val="10.0"/>
        <vertAlign val="subscript"/>
      </rPr>
      <t>F</t>
    </r>
    <r>
      <rPr>
        <rFont val="Arial"/>
        <i val="0"/>
        <color theme="1"/>
        <sz val="10.0"/>
      </rPr>
      <t>/</t>
    </r>
    <r>
      <rPr>
        <rFont val="Arial"/>
        <i/>
        <color theme="1"/>
        <sz val="10.0"/>
      </rPr>
      <t>B</t>
    </r>
    <r>
      <rPr>
        <rFont val="Arial"/>
        <i val="0"/>
        <color theme="1"/>
        <sz val="10.0"/>
      </rPr>
      <t>)/</t>
    </r>
    <r>
      <rPr>
        <rFont val="Arial"/>
        <i/>
        <color theme="1"/>
        <sz val="10.0"/>
      </rPr>
      <t>C</t>
    </r>
    <r>
      <rPr>
        <rFont val="Arial"/>
        <i/>
        <color theme="1"/>
        <sz val="10.0"/>
        <vertAlign val="subscript"/>
      </rPr>
      <t>CPT2</t>
    </r>
  </si>
  <si>
    <r>
      <rPr>
        <rFont val="Arial"/>
        <color theme="1"/>
        <sz val="10.0"/>
      </rPr>
      <t>lbf/in.</t>
    </r>
    <r>
      <rPr>
        <rFont val="Arial"/>
        <color theme="1"/>
        <sz val="10.0"/>
        <vertAlign val="superscript"/>
      </rPr>
      <t>2</t>
    </r>
  </si>
  <si>
    <r>
      <rPr>
        <rFont val="Arial"/>
        <i/>
        <color theme="1"/>
        <sz val="10.0"/>
      </rPr>
      <t>q</t>
    </r>
    <r>
      <rPr>
        <rFont val="Arial"/>
        <i/>
        <color theme="1"/>
        <sz val="10.0"/>
        <vertAlign val="subscript"/>
      </rPr>
      <t>cr</t>
    </r>
  </si>
  <si>
    <r>
      <rPr>
        <rFont val="Arial"/>
        <color theme="1"/>
        <sz val="10.0"/>
      </rPr>
      <t xml:space="preserve">Average cone penetration resistance within a depth </t>
    </r>
    <r>
      <rPr>
        <rFont val="Arial"/>
        <i/>
        <color theme="1"/>
        <sz val="10.0"/>
      </rPr>
      <t>B</t>
    </r>
    <r>
      <rPr>
        <rFont val="Arial"/>
        <color theme="1"/>
        <sz val="10.0"/>
      </rPr>
      <t xml:space="preserve"> below the bottom of the footing. Cone penetration resistance is equal to the vertical force applied to the cone divided by its horizontally projected area</t>
    </r>
  </si>
  <si>
    <r>
      <rPr>
        <rFont val="Arial"/>
        <color theme="1"/>
        <sz val="10.0"/>
      </rPr>
      <t>lbf/in.</t>
    </r>
    <r>
      <rPr>
        <rFont val="Arial"/>
        <color theme="1"/>
        <sz val="10.0"/>
        <vertAlign val="superscript"/>
      </rPr>
      <t>2</t>
    </r>
  </si>
  <si>
    <r>
      <rPr>
        <rFont val="Arial"/>
        <i/>
        <color theme="1"/>
        <sz val="10.0"/>
      </rPr>
      <t>C</t>
    </r>
    <r>
      <rPr>
        <rFont val="Arial"/>
        <i/>
        <color theme="1"/>
        <sz val="10.0"/>
        <vertAlign val="subscript"/>
      </rPr>
      <t>CPT2</t>
    </r>
  </si>
  <si>
    <t xml:space="preserve">Equation constant </t>
  </si>
  <si>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Sands from Pressuremeter Test (PMT) Results (Clause 10.4.4)</t>
    </r>
  </si>
  <si>
    <r>
      <rPr>
        <rFont val="Arial"/>
        <i/>
        <color theme="1"/>
        <sz val="10.0"/>
      </rPr>
      <t>q</t>
    </r>
    <r>
      <rPr>
        <rFont val="Arial"/>
        <i/>
        <color theme="1"/>
        <sz val="10.0"/>
        <vertAlign val="subscript"/>
      </rPr>
      <t>B</t>
    </r>
    <r>
      <rPr>
        <rFont val="Arial"/>
        <i/>
        <color theme="1"/>
        <sz val="10.0"/>
      </rPr>
      <t xml:space="preserve"> </t>
    </r>
  </si>
  <si>
    <r>
      <rPr>
        <rFont val="Arial"/>
        <i/>
        <color theme="1"/>
        <sz val="10.0"/>
      </rPr>
      <t>q</t>
    </r>
    <r>
      <rPr>
        <rFont val="Arial"/>
        <i/>
        <color theme="1"/>
        <sz val="10.0"/>
        <vertAlign val="subscript"/>
      </rPr>
      <t xml:space="preserve">0 + </t>
    </r>
    <r>
      <rPr>
        <rFont val="Arial"/>
        <i/>
        <color theme="1"/>
        <sz val="10.0"/>
      </rPr>
      <t>C</t>
    </r>
    <r>
      <rPr>
        <rFont val="Arial"/>
        <i/>
        <color theme="1"/>
        <sz val="10.0"/>
        <vertAlign val="subscript"/>
      </rPr>
      <t>PB</t>
    </r>
    <r>
      <rPr>
        <rFont val="Arial"/>
        <i/>
        <color theme="1"/>
        <sz val="10.0"/>
      </rPr>
      <t xml:space="preserve"> (p</t>
    </r>
    <r>
      <rPr>
        <rFont val="Arial"/>
        <i/>
        <color theme="1"/>
        <sz val="10.0"/>
        <vertAlign val="subscript"/>
      </rPr>
      <t>L</t>
    </r>
    <r>
      <rPr>
        <rFont val="Arial"/>
        <i/>
        <color theme="1"/>
        <sz val="10.0"/>
      </rPr>
      <t xml:space="preserve"> - </t>
    </r>
    <r>
      <rPr>
        <rFont val="Symbol"/>
        <i/>
        <color theme="1"/>
        <sz val="10.0"/>
      </rPr>
      <t>s</t>
    </r>
    <r>
      <rPr>
        <rFont val="Arial"/>
        <i/>
        <color theme="1"/>
        <sz val="10.0"/>
        <vertAlign val="subscript"/>
      </rPr>
      <t>0h</t>
    </r>
    <r>
      <rPr>
        <rFont val="Arial"/>
        <i/>
        <color theme="1"/>
        <sz val="10.0"/>
      </rPr>
      <t>)</t>
    </r>
  </si>
  <si>
    <r>
      <rPr>
        <rFont val="Arial"/>
        <color theme="1"/>
        <sz val="10.0"/>
      </rPr>
      <t>lbf/in.</t>
    </r>
    <r>
      <rPr>
        <rFont val="Arial"/>
        <color theme="1"/>
        <sz val="10.0"/>
        <vertAlign val="superscript"/>
      </rPr>
      <t>2</t>
    </r>
  </si>
  <si>
    <r>
      <rPr>
        <rFont val="Arial"/>
        <i/>
        <color theme="1"/>
        <sz val="10.0"/>
      </rPr>
      <t>p</t>
    </r>
    <r>
      <rPr>
        <rFont val="Arial"/>
        <i/>
        <color theme="1"/>
        <sz val="10.0"/>
        <vertAlign val="subscript"/>
      </rPr>
      <t>L</t>
    </r>
  </si>
  <si>
    <r>
      <rPr>
        <rFont val="Arial"/>
        <color theme="1"/>
        <sz val="10.0"/>
      </rPr>
      <t>Average value of limiting pressures obtained from pressurementer tests within a zone of +/- 1.5</t>
    </r>
    <r>
      <rPr>
        <rFont val="Arial"/>
        <i/>
        <color theme="1"/>
        <sz val="10.0"/>
      </rPr>
      <t xml:space="preserve"> B</t>
    </r>
    <r>
      <rPr>
        <rFont val="Arial"/>
        <color theme="1"/>
        <sz val="10.0"/>
      </rPr>
      <t xml:space="preserve"> above and bellow foorting depth</t>
    </r>
    <r>
      <rPr>
        <rFont val="Arial"/>
        <i/>
        <color theme="1"/>
        <sz val="10.0"/>
      </rPr>
      <t xml:space="preserve"> d</t>
    </r>
    <r>
      <rPr>
        <rFont val="Arial"/>
        <i/>
        <color theme="1"/>
        <sz val="10.0"/>
        <vertAlign val="subscript"/>
      </rPr>
      <t>F</t>
    </r>
  </si>
  <si>
    <r>
      <rPr>
        <rFont val="Arial"/>
        <color theme="1"/>
        <sz val="10.0"/>
      </rPr>
      <t>lbf/in.</t>
    </r>
    <r>
      <rPr>
        <rFont val="Arial"/>
        <color theme="1"/>
        <sz val="10.0"/>
        <vertAlign val="superscript"/>
      </rPr>
      <t>2</t>
    </r>
  </si>
  <si>
    <r>
      <rPr>
        <rFont val="Arial"/>
        <i/>
        <color theme="1"/>
        <sz val="10.0"/>
      </rPr>
      <t>σ</t>
    </r>
    <r>
      <rPr>
        <rFont val="Arial"/>
        <i/>
        <color theme="1"/>
        <sz val="10.0"/>
        <vertAlign val="subscript"/>
      </rPr>
      <t>0h</t>
    </r>
  </si>
  <si>
    <t>Horizontal total stress at rest for the depth where the pressuremeter test is performed</t>
  </si>
  <si>
    <r>
      <rPr>
        <rFont val="Arial"/>
        <color theme="1"/>
        <sz val="10.0"/>
      </rPr>
      <t>lbf/in.</t>
    </r>
    <r>
      <rPr>
        <rFont val="Arial"/>
        <color theme="1"/>
        <sz val="10.0"/>
        <vertAlign val="superscript"/>
      </rPr>
      <t>2</t>
    </r>
  </si>
  <si>
    <r>
      <rPr>
        <rFont val="Arial"/>
        <i/>
        <color theme="1"/>
        <sz val="10.0"/>
      </rPr>
      <t>C</t>
    </r>
    <r>
      <rPr>
        <rFont val="Arial"/>
        <i/>
        <color theme="1"/>
        <sz val="10.0"/>
        <vertAlign val="subscript"/>
      </rPr>
      <t>PB</t>
    </r>
  </si>
  <si>
    <t>Empirical bearing capacity coefficient for adjustment of pressuremeter readings</t>
  </si>
  <si>
    <r>
      <rPr>
        <rFont val="Arial"/>
        <color theme="1"/>
        <sz val="10.0"/>
      </rPr>
      <t xml:space="preserve"> 0.80 + 0.642(</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- 0.0839(</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t>
    </r>
    <r>
      <rPr>
        <rFont val="Arial"/>
        <color theme="1"/>
        <sz val="10.0"/>
        <vertAlign val="superscript"/>
      </rPr>
      <t xml:space="preserve">2 </t>
    </r>
    <r>
      <rPr>
        <rFont val="Arial"/>
        <color theme="1"/>
        <sz val="10.0"/>
      </rPr>
      <t>for sands</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</si>
  <si>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Silts from Pressuremeter Test (PMT) Results (Clause 10.4.4)</t>
    </r>
  </si>
  <si>
    <r>
      <rPr>
        <rFont val="Arial"/>
        <i/>
        <color theme="1"/>
        <sz val="10.0"/>
      </rPr>
      <t>q</t>
    </r>
    <r>
      <rPr>
        <rFont val="Arial"/>
        <i/>
        <color theme="1"/>
        <sz val="10.0"/>
        <vertAlign val="subscript"/>
      </rPr>
      <t>B</t>
    </r>
    <r>
      <rPr>
        <rFont val="Arial"/>
        <i/>
        <color theme="1"/>
        <sz val="10.0"/>
      </rPr>
      <t xml:space="preserve"> </t>
    </r>
  </si>
  <si>
    <r>
      <rPr>
        <rFont val="Arial"/>
        <i/>
        <color theme="1"/>
        <sz val="10.0"/>
      </rPr>
      <t>q</t>
    </r>
    <r>
      <rPr>
        <rFont val="Arial"/>
        <i/>
        <color theme="1"/>
        <sz val="10.0"/>
        <vertAlign val="subscript"/>
      </rPr>
      <t xml:space="preserve">0 + </t>
    </r>
    <r>
      <rPr>
        <rFont val="Arial"/>
        <i/>
        <color theme="1"/>
        <sz val="10.0"/>
      </rPr>
      <t>C</t>
    </r>
    <r>
      <rPr>
        <rFont val="Arial"/>
        <i/>
        <color theme="1"/>
        <sz val="10.0"/>
        <vertAlign val="subscript"/>
      </rPr>
      <t>PB</t>
    </r>
    <r>
      <rPr>
        <rFont val="Arial"/>
        <i/>
        <color theme="1"/>
        <sz val="10.0"/>
      </rPr>
      <t xml:space="preserve"> (p</t>
    </r>
    <r>
      <rPr>
        <rFont val="Arial"/>
        <i/>
        <color theme="1"/>
        <sz val="10.0"/>
        <vertAlign val="subscript"/>
      </rPr>
      <t>L</t>
    </r>
    <r>
      <rPr>
        <rFont val="Arial"/>
        <i/>
        <color theme="1"/>
        <sz val="10.0"/>
      </rPr>
      <t xml:space="preserve"> - </t>
    </r>
    <r>
      <rPr>
        <rFont val="Symbol"/>
        <i/>
        <color theme="1"/>
        <sz val="10.0"/>
      </rPr>
      <t>s</t>
    </r>
    <r>
      <rPr>
        <rFont val="Arial"/>
        <i/>
        <color theme="1"/>
        <sz val="10.0"/>
        <vertAlign val="subscript"/>
      </rPr>
      <t>0h</t>
    </r>
    <r>
      <rPr>
        <rFont val="Arial"/>
        <i/>
        <color theme="1"/>
        <sz val="10.0"/>
      </rPr>
      <t>)</t>
    </r>
  </si>
  <si>
    <r>
      <rPr>
        <rFont val="Arial"/>
        <color theme="1"/>
        <sz val="10.0"/>
      </rPr>
      <t>lbf/in.</t>
    </r>
    <r>
      <rPr>
        <rFont val="Arial"/>
        <color theme="1"/>
        <sz val="10.0"/>
        <vertAlign val="superscript"/>
      </rPr>
      <t>2</t>
    </r>
  </si>
  <si>
    <r>
      <rPr>
        <rFont val="Arial"/>
        <i/>
        <color theme="1"/>
        <sz val="10.0"/>
      </rPr>
      <t>p</t>
    </r>
    <r>
      <rPr>
        <rFont val="Arial"/>
        <i/>
        <color theme="1"/>
        <sz val="10.0"/>
        <vertAlign val="subscript"/>
      </rPr>
      <t>L</t>
    </r>
  </si>
  <si>
    <r>
      <rPr>
        <rFont val="Arial"/>
        <color theme="1"/>
        <sz val="10.0"/>
      </rPr>
      <t>Average value of limiting pressures obtained from pressurementer tests within a zone of +/- 1.5</t>
    </r>
    <r>
      <rPr>
        <rFont val="Arial"/>
        <i/>
        <color theme="1"/>
        <sz val="10.0"/>
      </rPr>
      <t xml:space="preserve"> B</t>
    </r>
    <r>
      <rPr>
        <rFont val="Arial"/>
        <color theme="1"/>
        <sz val="10.0"/>
      </rPr>
      <t xml:space="preserve"> above and bellow foorting depth</t>
    </r>
    <r>
      <rPr>
        <rFont val="Arial"/>
        <i/>
        <color theme="1"/>
        <sz val="10.0"/>
      </rPr>
      <t xml:space="preserve"> d</t>
    </r>
    <r>
      <rPr>
        <rFont val="Arial"/>
        <i/>
        <color theme="1"/>
        <sz val="10.0"/>
        <vertAlign val="subscript"/>
      </rPr>
      <t>F</t>
    </r>
  </si>
  <si>
    <r>
      <rPr>
        <rFont val="Arial"/>
        <color theme="1"/>
        <sz val="10.0"/>
      </rPr>
      <t>lbf/in.</t>
    </r>
    <r>
      <rPr>
        <rFont val="Arial"/>
        <color theme="1"/>
        <sz val="10.0"/>
        <vertAlign val="superscript"/>
      </rPr>
      <t>2</t>
    </r>
  </si>
  <si>
    <r>
      <rPr>
        <rFont val="Arial"/>
        <i/>
        <color theme="1"/>
        <sz val="10.0"/>
      </rPr>
      <t>σ</t>
    </r>
    <r>
      <rPr>
        <rFont val="Arial"/>
        <i/>
        <color theme="1"/>
        <sz val="10.0"/>
        <vertAlign val="subscript"/>
      </rPr>
      <t>0h</t>
    </r>
  </si>
  <si>
    <r>
      <rPr>
        <rFont val="Arial"/>
        <color theme="1"/>
        <sz val="10.0"/>
      </rPr>
      <t>lbf/in.</t>
    </r>
    <r>
      <rPr>
        <rFont val="Arial"/>
        <color theme="1"/>
        <sz val="10.0"/>
        <vertAlign val="superscript"/>
      </rPr>
      <t>2</t>
    </r>
  </si>
  <si>
    <r>
      <rPr>
        <rFont val="Arial"/>
        <i/>
        <color theme="1"/>
        <sz val="10.0"/>
      </rPr>
      <t>C</t>
    </r>
    <r>
      <rPr>
        <rFont val="Arial"/>
        <i/>
        <color theme="1"/>
        <sz val="10.0"/>
        <vertAlign val="subscript"/>
      </rPr>
      <t>PB</t>
    </r>
  </si>
  <si>
    <r>
      <rPr>
        <rFont val="Arial"/>
        <color theme="1"/>
        <sz val="10.0"/>
      </rPr>
      <t>0.80 + 0.384(</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- 0.0572(</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t>
    </r>
    <r>
      <rPr>
        <rFont val="Arial"/>
        <color theme="1"/>
        <sz val="10.0"/>
        <vertAlign val="superscript"/>
      </rPr>
      <t xml:space="preserve">2 </t>
    </r>
    <r>
      <rPr>
        <rFont val="Arial"/>
        <color theme="1"/>
        <sz val="10.0"/>
      </rPr>
      <t>for silts</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</si>
  <si>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Clays from Pressuremeter Test (PMT) Results (Clause 10.4.4)</t>
    </r>
  </si>
  <si>
    <r>
      <rPr>
        <rFont val="Arial"/>
        <i/>
        <color theme="1"/>
        <sz val="10.0"/>
      </rPr>
      <t>q</t>
    </r>
    <r>
      <rPr>
        <rFont val="Arial"/>
        <i/>
        <color theme="1"/>
        <sz val="10.0"/>
        <vertAlign val="subscript"/>
      </rPr>
      <t>B</t>
    </r>
    <r>
      <rPr>
        <rFont val="Arial"/>
        <i/>
        <color theme="1"/>
        <sz val="10.0"/>
      </rPr>
      <t xml:space="preserve"> </t>
    </r>
  </si>
  <si>
    <r>
      <rPr>
        <rFont val="Arial"/>
        <i/>
        <color theme="1"/>
        <sz val="10.0"/>
      </rPr>
      <t>q</t>
    </r>
    <r>
      <rPr>
        <rFont val="Arial"/>
        <i/>
        <color theme="1"/>
        <sz val="10.0"/>
        <vertAlign val="subscript"/>
      </rPr>
      <t xml:space="preserve">0 + </t>
    </r>
    <r>
      <rPr>
        <rFont val="Arial"/>
        <i/>
        <color theme="1"/>
        <sz val="10.0"/>
      </rPr>
      <t>C</t>
    </r>
    <r>
      <rPr>
        <rFont val="Arial"/>
        <i/>
        <color theme="1"/>
        <sz val="10.0"/>
        <vertAlign val="subscript"/>
      </rPr>
      <t>PB</t>
    </r>
    <r>
      <rPr>
        <rFont val="Arial"/>
        <i/>
        <color theme="1"/>
        <sz val="10.0"/>
      </rPr>
      <t xml:space="preserve"> (p</t>
    </r>
    <r>
      <rPr>
        <rFont val="Arial"/>
        <i/>
        <color theme="1"/>
        <sz val="10.0"/>
        <vertAlign val="subscript"/>
      </rPr>
      <t>L</t>
    </r>
    <r>
      <rPr>
        <rFont val="Arial"/>
        <i/>
        <color theme="1"/>
        <sz val="10.0"/>
      </rPr>
      <t xml:space="preserve"> - </t>
    </r>
    <r>
      <rPr>
        <rFont val="Symbol"/>
        <i/>
        <color theme="1"/>
        <sz val="10.0"/>
      </rPr>
      <t>s</t>
    </r>
    <r>
      <rPr>
        <rFont val="Arial"/>
        <i/>
        <color theme="1"/>
        <sz val="10.0"/>
        <vertAlign val="subscript"/>
      </rPr>
      <t>0h</t>
    </r>
    <r>
      <rPr>
        <rFont val="Arial"/>
        <i/>
        <color theme="1"/>
        <sz val="10.0"/>
      </rPr>
      <t>)</t>
    </r>
  </si>
  <si>
    <r>
      <rPr>
        <rFont val="Arial"/>
        <color theme="1"/>
        <sz val="10.0"/>
      </rPr>
      <t>lbf/in.</t>
    </r>
    <r>
      <rPr>
        <rFont val="Arial"/>
        <color theme="1"/>
        <sz val="10.0"/>
        <vertAlign val="superscript"/>
      </rPr>
      <t>2</t>
    </r>
  </si>
  <si>
    <r>
      <rPr>
        <rFont val="Arial"/>
        <i/>
        <color theme="1"/>
        <sz val="10.0"/>
      </rPr>
      <t>p</t>
    </r>
    <r>
      <rPr>
        <rFont val="Arial"/>
        <i/>
        <color theme="1"/>
        <sz val="10.0"/>
        <vertAlign val="subscript"/>
      </rPr>
      <t>L</t>
    </r>
  </si>
  <si>
    <r>
      <rPr>
        <rFont val="Arial"/>
        <color theme="1"/>
        <sz val="10.0"/>
      </rPr>
      <t>Average value of limiting pressures obtained from pressurementer tests within a zone of +/- 1.5</t>
    </r>
    <r>
      <rPr>
        <rFont val="Arial"/>
        <i/>
        <color theme="1"/>
        <sz val="10.0"/>
      </rPr>
      <t xml:space="preserve"> B</t>
    </r>
    <r>
      <rPr>
        <rFont val="Arial"/>
        <color theme="1"/>
        <sz val="10.0"/>
      </rPr>
      <t xml:space="preserve"> above and bellow foorting depth</t>
    </r>
    <r>
      <rPr>
        <rFont val="Arial"/>
        <i/>
        <color theme="1"/>
        <sz val="10.0"/>
      </rPr>
      <t xml:space="preserve"> d</t>
    </r>
    <r>
      <rPr>
        <rFont val="Arial"/>
        <i/>
        <color theme="1"/>
        <sz val="10.0"/>
        <vertAlign val="subscript"/>
      </rPr>
      <t>F</t>
    </r>
  </si>
  <si>
    <r>
      <rPr>
        <rFont val="Arial"/>
        <color theme="1"/>
        <sz val="10.0"/>
      </rPr>
      <t>lbf/in.</t>
    </r>
    <r>
      <rPr>
        <rFont val="Arial"/>
        <color theme="1"/>
        <sz val="10.0"/>
        <vertAlign val="superscript"/>
      </rPr>
      <t>2</t>
    </r>
  </si>
  <si>
    <r>
      <rPr>
        <rFont val="Arial"/>
        <i/>
        <color theme="1"/>
        <sz val="10.0"/>
      </rPr>
      <t>σ</t>
    </r>
    <r>
      <rPr>
        <rFont val="Arial"/>
        <i/>
        <color theme="1"/>
        <sz val="10.0"/>
        <vertAlign val="subscript"/>
      </rPr>
      <t>0h</t>
    </r>
  </si>
  <si>
    <r>
      <rPr>
        <rFont val="Arial"/>
        <color theme="1"/>
        <sz val="10.0"/>
      </rPr>
      <t>lbf/in.</t>
    </r>
    <r>
      <rPr>
        <rFont val="Arial"/>
        <color theme="1"/>
        <sz val="10.0"/>
        <vertAlign val="superscript"/>
      </rPr>
      <t>2</t>
    </r>
  </si>
  <si>
    <r>
      <rPr>
        <rFont val="Arial"/>
        <i/>
        <color theme="1"/>
        <sz val="10.0"/>
      </rPr>
      <t>C</t>
    </r>
    <r>
      <rPr>
        <rFont val="Arial"/>
        <i/>
        <color theme="1"/>
        <sz val="10.0"/>
        <vertAlign val="subscript"/>
      </rPr>
      <t>PB</t>
    </r>
  </si>
  <si>
    <r>
      <rPr>
        <rFont val="Arial"/>
        <color theme="1"/>
        <sz val="10.0"/>
      </rPr>
      <t xml:space="preserve"> 0.80 + 0.223(</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- 0.0395(</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t>
    </r>
    <r>
      <rPr>
        <rFont val="Arial"/>
        <color theme="1"/>
        <sz val="10.0"/>
        <vertAlign val="superscript"/>
      </rPr>
      <t xml:space="preserve">2 </t>
    </r>
    <r>
      <rPr>
        <rFont val="Arial"/>
        <color theme="1"/>
        <sz val="10.0"/>
      </rPr>
      <t>for clays</t>
    </r>
  </si>
  <si>
    <t>POLE BARN CALCULATIONS</t>
  </si>
  <si>
    <t>Project Name:</t>
  </si>
  <si>
    <t>Project Address:</t>
  </si>
  <si>
    <t xml:space="preserve">Calculated By: </t>
  </si>
  <si>
    <t>Checked By:</t>
  </si>
  <si>
    <t>SOIL PROFILE</t>
  </si>
  <si>
    <t>1st Layer Type of Soil</t>
  </si>
  <si>
    <t>Sandy Gravel</t>
  </si>
  <si>
    <t>2nd Layer Type of Soil</t>
  </si>
  <si>
    <t>Clayey Sand</t>
  </si>
  <si>
    <t xml:space="preserve">  Soil Profile </t>
  </si>
  <si>
    <t xml:space="preserve">ASAE EP486.3 Table 1 – Presumptive soil properties for post and pier foundation design </t>
  </si>
  <si>
    <t>Soil Layer (List Top to Bottom)</t>
  </si>
  <si>
    <t>Distance to top of layer</t>
  </si>
  <si>
    <t>Distance to bottom of layer</t>
  </si>
  <si>
    <r>
      <rPr>
        <rFont val="Arial"/>
        <b/>
        <color theme="1"/>
        <sz val="10.0"/>
      </rPr>
      <t xml:space="preserve">Moist unit weight, </t>
    </r>
    <r>
      <rPr>
        <rFont val="Symbol"/>
        <b/>
        <i/>
        <color theme="1"/>
        <sz val="10.0"/>
      </rPr>
      <t>g</t>
    </r>
  </si>
  <si>
    <r>
      <rPr>
        <rFont val="Arial"/>
        <b/>
        <color theme="1"/>
        <sz val="11.0"/>
      </rPr>
      <t>Option 1</t>
    </r>
    <r>
      <rPr>
        <rFont val="Arial"/>
        <b/>
        <color theme="1"/>
        <sz val="11.0"/>
        <vertAlign val="superscript"/>
      </rPr>
      <t xml:space="preserve"> (b)</t>
    </r>
  </si>
  <si>
    <r>
      <rPr>
        <rFont val="Arial"/>
        <b/>
        <color theme="1"/>
        <sz val="11.0"/>
      </rPr>
      <t xml:space="preserve">Option 2 </t>
    </r>
    <r>
      <rPr>
        <rFont val="Arial"/>
        <b/>
        <color theme="1"/>
        <sz val="11.0"/>
        <vertAlign val="superscript"/>
      </rPr>
      <t>(b)</t>
    </r>
  </si>
  <si>
    <r>
      <rPr>
        <rFont val="Arial"/>
        <b/>
        <color theme="1"/>
        <sz val="11.0"/>
      </rPr>
      <t xml:space="preserve">Option 3 </t>
    </r>
    <r>
      <rPr>
        <rFont val="Arial"/>
        <b/>
        <color theme="1"/>
        <sz val="11.0"/>
        <vertAlign val="superscript"/>
      </rPr>
      <t>(b)</t>
    </r>
  </si>
  <si>
    <r>
      <rPr>
        <rFont val="Arial"/>
        <b/>
        <color theme="1"/>
        <sz val="10.0"/>
      </rPr>
      <t>Drained soil friction angle,</t>
    </r>
    <r>
      <rPr>
        <rFont val="Symbol"/>
        <b/>
        <i/>
        <color theme="1"/>
        <sz val="10.0"/>
      </rPr>
      <t xml:space="preserve"> f</t>
    </r>
    <r>
      <rPr>
        <rFont val="Arial"/>
        <b/>
        <i/>
        <color theme="1"/>
        <sz val="10.0"/>
      </rPr>
      <t>'</t>
    </r>
  </si>
  <si>
    <r>
      <rPr>
        <rFont val="Arial"/>
        <b/>
        <color theme="1"/>
        <sz val="10.0"/>
      </rPr>
      <t>Drained cohesion,</t>
    </r>
    <r>
      <rPr>
        <rFont val="Arial"/>
        <b/>
        <i/>
        <color theme="1"/>
        <sz val="10.0"/>
      </rPr>
      <t xml:space="preserve"> c </t>
    </r>
  </si>
  <si>
    <r>
      <rPr>
        <rFont val="Arial"/>
        <b/>
        <color theme="1"/>
        <sz val="10.0"/>
      </rPr>
      <t xml:space="preserve">Undrained soil shear strength, </t>
    </r>
    <r>
      <rPr>
        <rFont val="Arial"/>
        <b/>
        <i/>
        <color theme="1"/>
        <sz val="10.0"/>
      </rPr>
      <t>S</t>
    </r>
    <r>
      <rPr>
        <rFont val="Arial"/>
        <b/>
        <i/>
        <color theme="1"/>
        <sz val="10.0"/>
        <vertAlign val="subscript"/>
      </rPr>
      <t>U</t>
    </r>
  </si>
  <si>
    <r>
      <rPr>
        <rFont val="Arial"/>
        <b/>
        <color theme="1"/>
        <sz val="10.0"/>
      </rPr>
      <t>Ultimate lateral soil resistance from in-situ tests,</t>
    </r>
    <r>
      <rPr>
        <rFont val="Arial"/>
        <b/>
        <i/>
        <color theme="1"/>
        <sz val="10.0"/>
      </rPr>
      <t xml:space="preserve"> p</t>
    </r>
    <r>
      <rPr>
        <rFont val="Arial"/>
        <b/>
        <i/>
        <color theme="1"/>
        <sz val="10.0"/>
        <vertAlign val="subscript"/>
      </rPr>
      <t>U</t>
    </r>
    <r>
      <rPr>
        <rFont val="Arial"/>
        <b/>
        <color theme="1"/>
        <sz val="10.0"/>
        <vertAlign val="subscript"/>
      </rPr>
      <t xml:space="preserve"> </t>
    </r>
    <r>
      <rPr>
        <rFont val="Arial"/>
        <b/>
        <color theme="1"/>
        <sz val="10.0"/>
        <vertAlign val="superscript"/>
      </rPr>
      <t>(c)</t>
    </r>
  </si>
  <si>
    <r>
      <rPr>
        <rFont val="Arial"/>
        <color rgb="FF000000"/>
        <sz val="10.0"/>
      </rPr>
      <t>kN/m</t>
    </r>
    <r>
      <rPr>
        <rFont val="Arial"/>
        <color rgb="FF000000"/>
        <sz val="10.0"/>
        <vertAlign val="superscript"/>
      </rPr>
      <t>3</t>
    </r>
  </si>
  <si>
    <r>
      <rPr>
        <rFont val="Arial"/>
        <color rgb="FF000000"/>
        <sz val="10.0"/>
      </rPr>
      <t>lbf/ft</t>
    </r>
    <r>
      <rPr>
        <rFont val="Arial"/>
        <color rgb="FF000000"/>
        <sz val="10.0"/>
        <vertAlign val="superscript"/>
      </rPr>
      <t>3</t>
    </r>
  </si>
  <si>
    <t>kPa</t>
  </si>
  <si>
    <r>
      <rPr>
        <rFont val="Arial"/>
        <color rgb="FF000000"/>
        <sz val="10.0"/>
      </rPr>
      <t>lbf/in</t>
    </r>
    <r>
      <rPr>
        <rFont val="Arial"/>
        <color rgb="FF000000"/>
        <sz val="10.0"/>
        <vertAlign val="superscript"/>
      </rPr>
      <t>2</t>
    </r>
  </si>
  <si>
    <t>Deg</t>
  </si>
  <si>
    <r>
      <rPr>
        <rFont val="Arial"/>
        <color rgb="FF000000"/>
        <sz val="10.0"/>
      </rPr>
      <t>lbf/in</t>
    </r>
    <r>
      <rPr>
        <rFont val="Arial"/>
        <color rgb="FF000000"/>
        <sz val="10.0"/>
        <vertAlign val="superscript"/>
      </rPr>
      <t>2</t>
    </r>
  </si>
  <si>
    <t>MPa</t>
  </si>
  <si>
    <r>
      <rPr>
        <rFont val="Arial"/>
        <color rgb="FF000000"/>
        <sz val="10.0"/>
      </rPr>
      <t>lbf/in</t>
    </r>
    <r>
      <rPr>
        <rFont val="Arial"/>
        <color rgb="FF000000"/>
        <sz val="10.0"/>
        <vertAlign val="superscript"/>
      </rPr>
      <t>2</t>
    </r>
  </si>
  <si>
    <t>MPa/m</t>
  </si>
  <si>
    <r>
      <rPr>
        <rFont val="Arial"/>
        <color rgb="FF000000"/>
        <sz val="10.0"/>
      </rPr>
      <t>(lbf/in</t>
    </r>
    <r>
      <rPr>
        <rFont val="Arial"/>
        <color rgb="FF000000"/>
        <sz val="10.0"/>
        <vertAlign val="superscript"/>
      </rPr>
      <t>2</t>
    </r>
    <r>
      <rPr>
        <rFont val="Arial"/>
        <color rgb="FF000000"/>
        <sz val="10.0"/>
      </rPr>
      <t>)/ft</t>
    </r>
  </si>
  <si>
    <t>Homogeneous inorganic clay, sandy or silty clay</t>
  </si>
  <si>
    <t>CL</t>
  </si>
  <si>
    <t>Soft</t>
  </si>
  <si>
    <t>-</t>
  </si>
  <si>
    <t>lbf per cubic foot</t>
  </si>
  <si>
    <t>lbf per square inch</t>
  </si>
  <si>
    <t>Medium to Stiff</t>
  </si>
  <si>
    <t>Very Stiff to Hard</t>
  </si>
  <si>
    <t>Homogeneous inorganic clay of high plasticity</t>
  </si>
  <si>
    <t>CH</t>
  </si>
  <si>
    <t>Medium to stiff</t>
  </si>
  <si>
    <t xml:space="preserve">  Variables Affecting Effective Vertical Soil Stress and Ultimate Lateral Soil Resistance Calculations</t>
  </si>
  <si>
    <t>Clean sand with little gravel</t>
  </si>
  <si>
    <t>SW, SP</t>
  </si>
  <si>
    <t>Loose</t>
  </si>
  <si>
    <t>Medium to Dense</t>
  </si>
  <si>
    <r>
      <rPr>
        <rFont val="Arial"/>
        <i/>
        <color theme="1"/>
        <sz val="10.0"/>
      </rPr>
      <t>d</t>
    </r>
    <r>
      <rPr>
        <rFont val="Arial"/>
        <i/>
        <color theme="1"/>
        <sz val="10.0"/>
        <vertAlign val="subscript"/>
      </rPr>
      <t>W</t>
    </r>
  </si>
  <si>
    <t>Depth to water table</t>
  </si>
  <si>
    <t>Used to calculate effective vertical stress in table below</t>
  </si>
  <si>
    <t>Very Dense</t>
  </si>
  <si>
    <t>Width of foundation near grade</t>
  </si>
  <si>
    <r>
      <rPr>
        <rFont val="Arial"/>
        <color theme="1"/>
        <sz val="10.0"/>
      </rPr>
      <t xml:space="preserve">Used to adjust </t>
    </r>
    <r>
      <rPr>
        <rFont val="Arial"/>
        <i/>
        <color theme="1"/>
        <sz val="10.0"/>
      </rPr>
      <t>c</t>
    </r>
    <r>
      <rPr>
        <rFont val="Arial"/>
        <color theme="1"/>
        <sz val="10.0"/>
      </rPr>
      <t xml:space="preserve"> and</t>
    </r>
    <r>
      <rPr>
        <rFont val="Arial"/>
        <i/>
        <color theme="1"/>
        <sz val="10.0"/>
      </rPr>
      <t xml:space="preserve"> S</t>
    </r>
    <r>
      <rPr>
        <rFont val="Arial"/>
        <i/>
        <color theme="1"/>
        <sz val="10.0"/>
        <vertAlign val="subscript"/>
      </rPr>
      <t>U</t>
    </r>
    <r>
      <rPr>
        <rFont val="Arial"/>
        <color theme="1"/>
        <sz val="10.0"/>
      </rPr>
      <t xml:space="preserve"> for depth in table below</t>
    </r>
  </si>
  <si>
    <t>Gravel, gravel-sand mixture, boulder-gravel mixtures</t>
  </si>
  <si>
    <t>GW, GP</t>
  </si>
  <si>
    <t>Option (see above) for calculating ultimate lateral soil resistance</t>
  </si>
  <si>
    <t>Enter a "1" for Option 1, a "2" for Option 2, a "3" for Option 3</t>
  </si>
  <si>
    <t>Well-graded mixture of fine- and coarse-grained soil: glacial till, hardpan, boulder clay</t>
  </si>
  <si>
    <t>GW-GC, GC, SC</t>
  </si>
  <si>
    <r>
      <rPr>
        <rFont val="Arial"/>
        <b/>
        <color rgb="FFFFFFFF"/>
        <sz val="12.0"/>
      </rPr>
      <t xml:space="preserve">  Soil Properties for 1-Inch Thick Layers</t>
    </r>
    <r>
      <rPr>
        <rFont val="Arial"/>
        <b val="0"/>
        <color rgb="FFFFFFFF"/>
        <sz val="10.0"/>
      </rPr>
      <t xml:space="preserve"> </t>
    </r>
  </si>
  <si>
    <t>Layer Number</t>
  </si>
  <si>
    <r>
      <rPr>
        <rFont val="Arial"/>
        <b/>
        <color theme="1"/>
        <sz val="10.0"/>
      </rPr>
      <t xml:space="preserve">Distance to center of layer, </t>
    </r>
    <r>
      <rPr>
        <rFont val="Arial"/>
        <b/>
        <i/>
        <color theme="1"/>
        <sz val="10.0"/>
      </rPr>
      <t>z</t>
    </r>
  </si>
  <si>
    <r>
      <rPr>
        <rFont val="Arial"/>
        <b/>
        <color theme="1"/>
        <sz val="10.0"/>
      </rPr>
      <t>Layer thickness,</t>
    </r>
    <r>
      <rPr>
        <rFont val="Arial"/>
        <b/>
        <i/>
        <color theme="1"/>
        <sz val="10.0"/>
      </rPr>
      <t xml:space="preserve"> t</t>
    </r>
  </si>
  <si>
    <r>
      <rPr>
        <rFont val="Arial"/>
        <b/>
        <color theme="1"/>
        <sz val="10.0"/>
      </rPr>
      <t>Moist unit weight,</t>
    </r>
    <r>
      <rPr>
        <rFont val="Symbol"/>
        <b/>
        <i/>
        <color theme="1"/>
        <sz val="10.0"/>
      </rPr>
      <t xml:space="preserve"> g</t>
    </r>
  </si>
  <si>
    <r>
      <rPr>
        <rFont val="Arial"/>
        <b/>
        <color theme="1"/>
        <sz val="10.0"/>
      </rPr>
      <t xml:space="preserve">Total vertical stress, </t>
    </r>
    <r>
      <rPr>
        <rFont val="Symbol"/>
        <b/>
        <i/>
        <color theme="1"/>
        <sz val="12.0"/>
      </rPr>
      <t>s</t>
    </r>
    <r>
      <rPr>
        <rFont val="Arial"/>
        <b/>
        <i/>
        <color theme="1"/>
        <sz val="6.0"/>
      </rPr>
      <t>V</t>
    </r>
  </si>
  <si>
    <r>
      <rPr>
        <rFont val="Arial"/>
        <b/>
        <color theme="1"/>
        <sz val="10.0"/>
      </rPr>
      <t>Effective vertical stress,</t>
    </r>
    <r>
      <rPr>
        <rFont val="Arial"/>
        <b/>
        <i/>
        <color theme="1"/>
        <sz val="10.0"/>
      </rPr>
      <t xml:space="preserve"> </t>
    </r>
    <r>
      <rPr>
        <rFont val="Symbol"/>
        <b/>
        <i/>
        <color theme="1"/>
        <sz val="12.0"/>
      </rPr>
      <t>s</t>
    </r>
    <r>
      <rPr>
        <rFont val="Arial"/>
        <b/>
        <i/>
        <color theme="1"/>
        <sz val="10.0"/>
      </rPr>
      <t>'</t>
    </r>
    <r>
      <rPr>
        <rFont val="Arial"/>
        <b/>
        <i/>
        <color theme="1"/>
        <sz val="6.0"/>
      </rPr>
      <t>V</t>
    </r>
  </si>
  <si>
    <r>
      <rPr>
        <rFont val="Arial"/>
        <b/>
        <color theme="1"/>
        <sz val="10.0"/>
      </rPr>
      <t>Drained soil friction angle,</t>
    </r>
    <r>
      <rPr>
        <rFont val="Symbol"/>
        <b/>
        <color theme="1"/>
        <sz val="10.0"/>
      </rPr>
      <t xml:space="preserve"> </t>
    </r>
    <r>
      <rPr>
        <rFont val="Symbol"/>
        <b/>
        <i/>
        <color theme="1"/>
        <sz val="10.0"/>
      </rPr>
      <t>f</t>
    </r>
    <r>
      <rPr>
        <rFont val="Arial"/>
        <b/>
        <i/>
        <color theme="1"/>
        <sz val="10.0"/>
      </rPr>
      <t>'</t>
    </r>
  </si>
  <si>
    <r>
      <rPr>
        <rFont val="Arial"/>
        <b/>
        <color theme="1"/>
        <sz val="10.0"/>
      </rPr>
      <t xml:space="preserve">Drained cohesion, </t>
    </r>
    <r>
      <rPr>
        <rFont val="Arial"/>
        <b/>
        <i/>
        <color theme="1"/>
        <sz val="10.0"/>
      </rPr>
      <t>c</t>
    </r>
  </si>
  <si>
    <r>
      <rPr>
        <rFont val="Arial"/>
        <b/>
        <color theme="1"/>
        <sz val="10.0"/>
      </rPr>
      <t xml:space="preserve">Undrained soil shear strength, </t>
    </r>
    <r>
      <rPr>
        <rFont val="Arial"/>
        <b/>
        <i/>
        <color theme="1"/>
        <sz val="10.0"/>
      </rPr>
      <t>S</t>
    </r>
    <r>
      <rPr>
        <rFont val="Arial"/>
        <b/>
        <i/>
        <color theme="1"/>
        <sz val="10.0"/>
        <vertAlign val="subscript"/>
      </rPr>
      <t>U</t>
    </r>
  </si>
  <si>
    <r>
      <rPr>
        <rFont val="Arial"/>
        <b/>
        <i/>
        <color theme="1"/>
        <sz val="10.0"/>
      </rPr>
      <t>p</t>
    </r>
    <r>
      <rPr>
        <rFont val="Arial"/>
        <b/>
        <i/>
        <color theme="1"/>
        <sz val="10.0"/>
        <vertAlign val="subscript"/>
      </rPr>
      <t>U</t>
    </r>
    <r>
      <rPr>
        <rFont val="Arial"/>
        <b/>
        <i val="0"/>
        <color theme="1"/>
        <sz val="10.0"/>
      </rPr>
      <t xml:space="preserve"> from in-situ tests</t>
    </r>
  </si>
  <si>
    <r>
      <rPr>
        <rFont val="Arial"/>
        <b/>
        <color theme="1"/>
        <sz val="10.0"/>
      </rPr>
      <t xml:space="preserve">Drained cohesion (adjusted for depth), </t>
    </r>
    <r>
      <rPr>
        <rFont val="Arial"/>
        <b/>
        <i/>
        <color theme="1"/>
        <sz val="10.0"/>
      </rPr>
      <t>c</t>
    </r>
  </si>
  <si>
    <r>
      <rPr>
        <rFont val="Arial"/>
        <b/>
        <color theme="1"/>
        <sz val="10.0"/>
      </rPr>
      <t xml:space="preserve">Undrained soil shear strength (adjusted for depth), </t>
    </r>
    <r>
      <rPr>
        <rFont val="Arial"/>
        <b/>
        <i/>
        <color theme="1"/>
        <sz val="10.0"/>
      </rPr>
      <t>S</t>
    </r>
    <r>
      <rPr>
        <rFont val="Arial"/>
        <b/>
        <i/>
        <color theme="1"/>
        <sz val="10.0"/>
        <vertAlign val="subscript"/>
      </rPr>
      <t>U</t>
    </r>
  </si>
  <si>
    <r>
      <rPr>
        <rFont val="Arial"/>
        <b/>
        <color theme="1"/>
        <sz val="10.0"/>
      </rPr>
      <t>Coefficient of passive earth pressure,</t>
    </r>
    <r>
      <rPr>
        <rFont val="Arial"/>
        <b/>
        <i/>
        <color theme="1"/>
        <sz val="10.0"/>
      </rPr>
      <t xml:space="preserve"> K</t>
    </r>
    <r>
      <rPr>
        <rFont val="Arial"/>
        <b/>
        <i/>
        <color theme="1"/>
        <sz val="10.0"/>
        <vertAlign val="subscript"/>
      </rPr>
      <t>P</t>
    </r>
  </si>
  <si>
    <r>
      <rPr>
        <rFont val="Arial"/>
        <b/>
        <color theme="1"/>
        <sz val="10.0"/>
      </rPr>
      <t xml:space="preserve">Ultimate lateral resistance, </t>
    </r>
    <r>
      <rPr>
        <rFont val="Arial"/>
        <b/>
        <i/>
        <color theme="1"/>
        <sz val="10.0"/>
      </rPr>
      <t>p</t>
    </r>
    <r>
      <rPr>
        <rFont val="Arial"/>
        <b/>
        <i/>
        <color theme="1"/>
        <sz val="10.0"/>
        <vertAlign val="subscript"/>
      </rPr>
      <t>U,z</t>
    </r>
  </si>
  <si>
    <r>
      <rPr>
        <rFont val="Arial"/>
        <color rgb="FF000000"/>
        <sz val="10.0"/>
      </rPr>
      <t>(a)</t>
    </r>
    <r>
      <rPr>
        <rFont val="Arial"/>
        <color rgb="FF000000"/>
        <sz val="10.0"/>
      </rPr>
      <t xml:space="preserve"> Rapid undrained loading will typically be the critical design scenario in predominately silt and/or clay soils. Laboratory testing is recommended to assess clay friction angle for drained loading analysis.</t>
    </r>
  </si>
  <si>
    <r>
      <rPr>
        <rFont val="Arial"/>
        <color rgb="FF000000"/>
        <sz val="10.0"/>
      </rPr>
      <t>(b)</t>
    </r>
    <r>
      <rPr>
        <rFont val="Arial"/>
        <color rgb="FF000000"/>
        <sz val="10.0"/>
      </rPr>
      <t xml:space="preserve"> Loading assumed slow enough that sandy soils behave in a drained manner.</t>
    </r>
  </si>
  <si>
    <r>
      <rPr>
        <rFont val="Arial"/>
        <color rgb="FF000000"/>
        <sz val="10.0"/>
      </rPr>
      <t>(c)</t>
    </r>
    <r>
      <rPr>
        <rFont val="Arial"/>
        <color rgb="FF000000"/>
        <sz val="10.0"/>
      </rPr>
      <t xml:space="preserve"> Estimate of stiffness at rotation of 1</t>
    </r>
    <r>
      <rPr>
        <rFont val="Arial"/>
        <color rgb="FF000000"/>
        <sz val="10.0"/>
        <vertAlign val="superscript"/>
      </rPr>
      <t>o</t>
    </r>
    <r>
      <rPr>
        <rFont val="Arial"/>
        <color rgb="FF000000"/>
        <sz val="10.0"/>
      </rPr>
      <t xml:space="preserve"> for use in approximating structural load distribution. For evaluation of serviceability limit state use values that are 1/3 of tabulated value.</t>
    </r>
  </si>
  <si>
    <r>
      <rPr>
        <rFont val="Arial"/>
        <color rgb="FF000000"/>
        <sz val="10.0"/>
      </rPr>
      <t>(d)</t>
    </r>
    <r>
      <rPr>
        <rFont val="Arial"/>
        <color rgb="FF000000"/>
        <sz val="10.0"/>
      </rPr>
      <t xml:space="preserve"> Constant values of stiffness used for calculation of clay response. Stiffness increasing with depth from a value of zero used for calculation of sand response.</t>
    </r>
  </si>
  <si>
    <r>
      <rPr>
        <rFont val="Arial"/>
        <color rgb="FF000000"/>
        <sz val="10.0"/>
      </rPr>
      <t>(e)</t>
    </r>
    <r>
      <rPr>
        <rFont val="Arial"/>
        <color rgb="FF000000"/>
        <sz val="10.0"/>
      </rPr>
      <t xml:space="preserve"> Assumes soil is located below the water table.  Double the tabulated </t>
    </r>
    <r>
      <rPr>
        <rFont val="Arial"/>
        <i/>
        <color rgb="FF000000"/>
        <sz val="10.0"/>
      </rPr>
      <t>A</t>
    </r>
    <r>
      <rPr>
        <rFont val="Arial"/>
        <i/>
        <color rgb="FF000000"/>
        <sz val="10.0"/>
        <vertAlign val="subscript"/>
      </rPr>
      <t>E</t>
    </r>
    <r>
      <rPr>
        <rFont val="Arial"/>
        <color rgb="FF000000"/>
        <sz val="10.0"/>
      </rPr>
      <t xml:space="preserve"> value for soils located above the water table.</t>
    </r>
  </si>
  <si>
    <r>
      <rPr>
        <rFont val="Arial"/>
        <color rgb="FF000000"/>
        <sz val="10.0"/>
      </rPr>
      <t>(f)</t>
    </r>
    <r>
      <rPr>
        <rFont val="Arial"/>
        <color rgb="FF000000"/>
        <sz val="10.0"/>
      </rPr>
      <t xml:space="preserve"> Poisson ratio of 0.5 (no volume change) assumes rapid undrained loading conditions.</t>
    </r>
  </si>
  <si>
    <t xml:space="preserve">Moist unit weight, g
</t>
  </si>
  <si>
    <t>Drained Cohesion, c'</t>
  </si>
  <si>
    <t>Drained soil friction angle, f'(a)</t>
  </si>
  <si>
    <t>undrained soil shear strength</t>
  </si>
  <si>
    <t>Gravel</t>
  </si>
  <si>
    <t>Silty Gravel</t>
  </si>
  <si>
    <t>Clayey Gravel</t>
  </si>
  <si>
    <t>Sand</t>
  </si>
  <si>
    <t>Gravelly Sand</t>
  </si>
  <si>
    <t>Silty Sand</t>
  </si>
  <si>
    <t>Silt</t>
  </si>
  <si>
    <t>Clayey Silt</t>
  </si>
  <si>
    <t>Gravelly Clay</t>
  </si>
  <si>
    <t>Silty Clay</t>
  </si>
  <si>
    <t>Sandy Clay</t>
  </si>
  <si>
    <t>Clay</t>
  </si>
  <si>
    <t>BEARING STRENGTH ASSESSMENT</t>
  </si>
  <si>
    <t>Diameter of Footing (in.)</t>
  </si>
  <si>
    <t>Foundation or Footing Depth (in.)</t>
  </si>
  <si>
    <t>Barn Width</t>
  </si>
  <si>
    <t>feet</t>
  </si>
  <si>
    <t>Post Spacing</t>
  </si>
  <si>
    <t>Snow Load</t>
  </si>
  <si>
    <t>psf</t>
  </si>
  <si>
    <t>Axial Load Applied (lbf)</t>
  </si>
  <si>
    <t>Assuming LRFD Loading per -20psf floor dead load, 40psf floor live load, 20 roof live load, 40 snow load and -15 wind load (100sqft )</t>
  </si>
  <si>
    <r>
      <rPr>
        <rFont val="Arial"/>
        <color rgb="FF000000"/>
        <sz val="10.0"/>
      </rPr>
      <t>(a)</t>
    </r>
    <r>
      <rPr>
        <rFont val="Arial"/>
        <color rgb="FF000000"/>
        <sz val="10.0"/>
      </rPr>
      <t xml:space="preserve"> Clause in ASAE EP 486.3 containing the </t>
    </r>
    <r>
      <rPr>
        <rFont val="Arial"/>
        <i/>
        <color rgb="FF000000"/>
        <sz val="10.0"/>
      </rPr>
      <t>q</t>
    </r>
    <r>
      <rPr>
        <rFont val="Arial"/>
        <i/>
        <color rgb="FF000000"/>
        <sz val="10.0"/>
        <vertAlign val="subscript"/>
      </rPr>
      <t>B</t>
    </r>
    <r>
      <rPr>
        <rFont val="Arial"/>
        <color rgb="FF000000"/>
        <sz val="10.0"/>
      </rPr>
      <t xml:space="preserve"> equation to which the resistance/safety factor applies.</t>
    </r>
  </si>
  <si>
    <r>
      <rPr>
        <rFont val="Arial"/>
        <color theme="1"/>
        <sz val="10.0"/>
      </rPr>
      <t xml:space="preserve">For </t>
    </r>
    <r>
      <rPr>
        <rFont val="Symbol"/>
        <i/>
        <color theme="1"/>
        <sz val="10.0"/>
      </rPr>
      <t>f</t>
    </r>
    <r>
      <rPr>
        <rFont val="Arial"/>
        <color theme="1"/>
        <sz val="10.0"/>
      </rPr>
      <t xml:space="preserve"> =</t>
    </r>
  </si>
  <si>
    <r>
      <rPr>
        <rFont val="Arial"/>
        <color rgb="FF000000"/>
        <sz val="10.0"/>
      </rPr>
      <t xml:space="preserve">(b) </t>
    </r>
    <r>
      <rPr>
        <rFont val="Arial"/>
        <color rgb="FF000000"/>
        <sz val="10.0"/>
      </rPr>
      <t>In all cases,</t>
    </r>
    <r>
      <rPr>
        <rFont val="Arial"/>
        <color rgb="FF000000"/>
        <sz val="10.0"/>
        <vertAlign val="superscript"/>
      </rPr>
      <t xml:space="preserve"> </t>
    </r>
    <r>
      <rPr>
        <rFont val="Arial"/>
        <i/>
        <color rgb="FF000000"/>
        <sz val="10.0"/>
      </rPr>
      <t>R</t>
    </r>
    <r>
      <rPr>
        <rFont val="Arial"/>
        <i/>
        <color rgb="FF000000"/>
        <sz val="10.0"/>
        <vertAlign val="subscript"/>
      </rPr>
      <t xml:space="preserve">B </t>
    </r>
    <r>
      <rPr>
        <rFont val="Arial"/>
        <color rgb="FF000000"/>
        <sz val="10.0"/>
      </rPr>
      <t xml:space="preserve">is limited to a maximum value of 0.93 and </t>
    </r>
    <r>
      <rPr>
        <rFont val="Arial"/>
        <i/>
        <color rgb="FF000000"/>
        <sz val="10.0"/>
      </rPr>
      <t>f</t>
    </r>
    <r>
      <rPr>
        <rFont val="Arial"/>
        <i/>
        <color rgb="FF000000"/>
        <sz val="10.0"/>
        <vertAlign val="subscript"/>
      </rPr>
      <t>B</t>
    </r>
    <r>
      <rPr>
        <rFont val="Arial"/>
        <color rgb="FF000000"/>
        <sz val="10.0"/>
      </rPr>
      <t xml:space="preserve"> is limited to a minimum value of 1.50.</t>
    </r>
  </si>
  <si>
    <r>
      <rPr>
        <rFont val="Arial"/>
        <b/>
        <color theme="1"/>
        <sz val="10.0"/>
      </rPr>
      <t>Associated clause</t>
    </r>
    <r>
      <rPr>
        <rFont val="Arial"/>
        <b/>
        <color theme="1"/>
        <sz val="10.0"/>
        <vertAlign val="superscript"/>
      </rPr>
      <t xml:space="preserve"> (a)</t>
    </r>
  </si>
  <si>
    <r>
      <rPr>
        <rFont val="Arial"/>
        <b/>
        <color theme="1"/>
        <sz val="10.0"/>
      </rPr>
      <t xml:space="preserve">Method used to determine ultimate bearing capacity </t>
    </r>
    <r>
      <rPr>
        <rFont val="Arial"/>
        <b/>
        <i/>
        <color theme="1"/>
        <sz val="10.0"/>
      </rPr>
      <t>q</t>
    </r>
    <r>
      <rPr>
        <rFont val="Arial"/>
        <b/>
        <i/>
        <color theme="1"/>
        <sz val="10.0"/>
        <vertAlign val="subscript"/>
      </rPr>
      <t>B</t>
    </r>
  </si>
  <si>
    <r>
      <rPr>
        <rFont val="Arial"/>
        <b/>
        <color rgb="FF000000"/>
        <sz val="10.0"/>
      </rPr>
      <t xml:space="preserve">LRFD resistance factor for bearing strength assessment, </t>
    </r>
    <r>
      <rPr>
        <rFont val="Arial"/>
        <b/>
        <i/>
        <color rgb="FF000000"/>
        <sz val="10.0"/>
      </rPr>
      <t>R</t>
    </r>
    <r>
      <rPr>
        <rFont val="Arial"/>
        <b/>
        <i/>
        <color rgb="FF000000"/>
        <sz val="10.0"/>
        <vertAlign val="subscript"/>
      </rPr>
      <t>B</t>
    </r>
    <r>
      <rPr>
        <rFont val="Arial"/>
        <b/>
        <color rgb="FF000000"/>
        <sz val="10.0"/>
        <vertAlign val="subscript"/>
      </rPr>
      <t xml:space="preserve"> </t>
    </r>
    <r>
      <rPr>
        <rFont val="Arial"/>
        <b/>
        <color rgb="FF000000"/>
        <sz val="10.0"/>
        <vertAlign val="superscript"/>
      </rPr>
      <t>(b)</t>
    </r>
  </si>
  <si>
    <r>
      <rPr>
        <rFont val="Arial"/>
        <b/>
        <color rgb="FF000000"/>
        <sz val="10.0"/>
      </rPr>
      <t>ASD safety factor for bearing strength assessment,</t>
    </r>
    <r>
      <rPr>
        <rFont val="Arial"/>
        <b/>
        <i/>
        <color rgb="FF000000"/>
        <sz val="10.0"/>
      </rPr>
      <t xml:space="preserve"> f</t>
    </r>
    <r>
      <rPr>
        <rFont val="Arial"/>
        <b/>
        <i/>
        <color rgb="FF000000"/>
        <sz val="10.0"/>
        <vertAlign val="subscript"/>
      </rPr>
      <t>B</t>
    </r>
    <r>
      <rPr>
        <rFont val="Arial"/>
        <b/>
        <color rgb="FF000000"/>
        <sz val="10.0"/>
        <vertAlign val="superscript"/>
      </rPr>
      <t xml:space="preserve"> (b)</t>
    </r>
  </si>
  <si>
    <r>
      <rPr>
        <rFont val="Arial"/>
        <color theme="1"/>
        <sz val="10.0"/>
      </rPr>
      <t>(c)</t>
    </r>
    <r>
      <rPr>
        <rFont val="Arial"/>
        <color theme="1"/>
        <sz val="10.0"/>
      </rPr>
      <t xml:space="preserve"> For buildings and other structures that represent a low risk to humans in the event of a failure. </t>
    </r>
    <r>
      <rPr>
        <rFont val="Arial"/>
        <i/>
        <color theme="1"/>
        <sz val="10.0"/>
      </rPr>
      <t>R</t>
    </r>
    <r>
      <rPr>
        <rFont val="Arial"/>
        <i/>
        <color theme="1"/>
        <sz val="10.0"/>
        <vertAlign val="subscript"/>
      </rPr>
      <t>B</t>
    </r>
    <r>
      <rPr>
        <rFont val="Arial"/>
        <color theme="1"/>
        <sz val="10.0"/>
      </rPr>
      <t xml:space="preserve"> values increased by 25% and </t>
    </r>
    <r>
      <rPr>
        <rFont val="Arial"/>
        <i/>
        <color theme="1"/>
        <sz val="10.0"/>
      </rPr>
      <t>f</t>
    </r>
    <r>
      <rPr>
        <rFont val="Arial"/>
        <i/>
        <color theme="1"/>
        <sz val="10.0"/>
        <vertAlign val="subscript"/>
      </rPr>
      <t>B</t>
    </r>
    <r>
      <rPr>
        <rFont val="Arial"/>
        <color theme="1"/>
        <sz val="10.0"/>
      </rPr>
      <t xml:space="preserve"> values reduced by 20%.</t>
    </r>
  </si>
  <si>
    <r>
      <rPr>
        <rFont val="Arial"/>
        <b/>
        <color theme="1"/>
        <sz val="10.0"/>
      </rPr>
      <t>Low Risk</t>
    </r>
    <r>
      <rPr>
        <rFont val="Arial"/>
        <b/>
        <color theme="1"/>
        <sz val="10.0"/>
        <vertAlign val="superscript"/>
      </rPr>
      <t xml:space="preserve"> (c)</t>
    </r>
  </si>
  <si>
    <r>
      <rPr>
        <rFont val="Arial"/>
        <b/>
        <color theme="1"/>
        <sz val="10.0"/>
      </rPr>
      <t>Low Risk</t>
    </r>
    <r>
      <rPr>
        <rFont val="Arial"/>
        <b/>
        <color theme="1"/>
        <sz val="10.0"/>
        <vertAlign val="superscript"/>
      </rPr>
      <t xml:space="preserve"> (c)</t>
    </r>
  </si>
  <si>
    <r>
      <rPr>
        <rFont val="Arial"/>
        <i/>
        <color theme="1"/>
        <sz val="10.0"/>
      </rPr>
      <t>d</t>
    </r>
    <r>
      <rPr>
        <rFont val="Arial"/>
        <i/>
        <color theme="1"/>
        <sz val="10.0"/>
        <vertAlign val="subscript"/>
      </rPr>
      <t>F</t>
    </r>
  </si>
  <si>
    <r>
      <rPr>
        <rFont val="Arial"/>
        <color rgb="FF000000"/>
        <sz val="10.0"/>
      </rPr>
      <t xml:space="preserve">General bearing capacity equation with </t>
    </r>
    <r>
      <rPr>
        <rFont val="Symbol"/>
        <i/>
        <color rgb="FF000000"/>
        <sz val="10.0"/>
      </rPr>
      <t>f</t>
    </r>
    <r>
      <rPr>
        <rFont val="Arial"/>
        <i/>
        <color rgb="FF000000"/>
        <sz val="10.0"/>
      </rPr>
      <t xml:space="preserve"> </t>
    </r>
    <r>
      <rPr>
        <rFont val="Arial"/>
        <color rgb="FF000000"/>
        <sz val="10.0"/>
      </rPr>
      <t>determined from laboratory direct shear or axial compression tests (see clause 5.8.1)</t>
    </r>
  </si>
  <si>
    <r>
      <rPr>
        <rFont val="Arial"/>
        <color rgb="FF000000"/>
        <sz val="10.0"/>
      </rPr>
      <t>0.80 - 0.01·</t>
    </r>
    <r>
      <rPr>
        <rFont val="Symbol"/>
        <i/>
        <color rgb="FF000000"/>
        <sz val="10.0"/>
      </rPr>
      <t>f =</t>
    </r>
  </si>
  <si>
    <r>
      <rPr>
        <rFont val="Arial"/>
        <color rgb="FF000000"/>
        <sz val="10.0"/>
      </rPr>
      <t>1.4/(0.80 - 0.01·</t>
    </r>
    <r>
      <rPr>
        <rFont val="Symbol"/>
        <i/>
        <color rgb="FF000000"/>
        <sz val="10.0"/>
      </rPr>
      <t>f</t>
    </r>
    <r>
      <rPr>
        <rFont val="Arial"/>
        <color rgb="FF000000"/>
        <sz val="10.0"/>
      </rPr>
      <t>) =</t>
    </r>
  </si>
  <si>
    <r>
      <rPr>
        <rFont val="Arial"/>
        <i/>
        <color theme="1"/>
        <sz val="10.0"/>
      </rPr>
      <t>P</t>
    </r>
    <r>
      <rPr>
        <rFont val="Arial"/>
        <i/>
        <color theme="1"/>
        <sz val="10.0"/>
        <vertAlign val="subscript"/>
      </rPr>
      <t>LRFD</t>
    </r>
  </si>
  <si>
    <r>
      <rPr>
        <rFont val="Arial"/>
        <color rgb="FF000000"/>
        <sz val="10.0"/>
      </rPr>
      <t xml:space="preserve">General bearing capacity equation with </t>
    </r>
    <r>
      <rPr>
        <rFont val="Symbol"/>
        <i/>
        <color rgb="FF000000"/>
        <sz val="10.0"/>
      </rPr>
      <t>f</t>
    </r>
    <r>
      <rPr>
        <rFont val="Arial"/>
        <i/>
        <color rgb="FF000000"/>
        <sz val="10.0"/>
      </rPr>
      <t xml:space="preserve"> </t>
    </r>
    <r>
      <rPr>
        <rFont val="Arial"/>
        <color rgb="FF000000"/>
        <sz val="10.0"/>
      </rPr>
      <t>determined from SPT data in accordance with clause 5.8.2</t>
    </r>
  </si>
  <si>
    <r>
      <rPr>
        <rFont val="Arial"/>
        <color rgb="FF000000"/>
        <sz val="10.0"/>
      </rPr>
      <t>0.62 - 0.01·</t>
    </r>
    <r>
      <rPr>
        <rFont val="Symbol"/>
        <i/>
        <color rgb="FF000000"/>
        <sz val="10.0"/>
      </rPr>
      <t>f =</t>
    </r>
  </si>
  <si>
    <r>
      <rPr>
        <rFont val="Arial"/>
        <color rgb="FF000000"/>
        <sz val="10.0"/>
      </rPr>
      <t>1.4/(0.62 - 0.01·</t>
    </r>
    <r>
      <rPr>
        <rFont val="Symbol"/>
        <i/>
        <color rgb="FF000000"/>
        <sz val="10.0"/>
      </rPr>
      <t>f</t>
    </r>
    <r>
      <rPr>
        <rFont val="Arial"/>
        <color rgb="FF000000"/>
        <sz val="10.0"/>
      </rPr>
      <t>) =</t>
    </r>
  </si>
  <si>
    <r>
      <rPr>
        <rFont val="Arial"/>
        <i/>
        <color theme="1"/>
        <sz val="10.0"/>
      </rPr>
      <t>P</t>
    </r>
    <r>
      <rPr>
        <rFont val="Arial"/>
        <i/>
        <color theme="1"/>
        <sz val="10.0"/>
        <vertAlign val="subscript"/>
      </rPr>
      <t>ASD</t>
    </r>
  </si>
  <si>
    <r>
      <rPr>
        <rFont val="Arial"/>
        <color rgb="FF000000"/>
        <sz val="10.0"/>
      </rPr>
      <t xml:space="preserve">General bearing capacity equation with </t>
    </r>
    <r>
      <rPr>
        <rFont val="Symbol"/>
        <i/>
        <color rgb="FF000000"/>
        <sz val="10.0"/>
      </rPr>
      <t>f</t>
    </r>
    <r>
      <rPr>
        <rFont val="Arial"/>
        <i/>
        <color rgb="FF000000"/>
        <sz val="10.0"/>
      </rPr>
      <t xml:space="preserve"> </t>
    </r>
    <r>
      <rPr>
        <rFont val="Arial"/>
        <color rgb="FF000000"/>
        <sz val="10.0"/>
      </rPr>
      <t>determined from CPT data in accordance with clause 5.8.3</t>
    </r>
  </si>
  <si>
    <r>
      <rPr>
        <rFont val="Arial"/>
        <color rgb="FF000000"/>
        <sz val="10.0"/>
      </rPr>
      <t>0.71 - 0.01·</t>
    </r>
    <r>
      <rPr>
        <rFont val="Symbol"/>
        <i/>
        <color rgb="FF000000"/>
        <sz val="10.0"/>
      </rPr>
      <t>f =</t>
    </r>
  </si>
  <si>
    <r>
      <rPr>
        <rFont val="Arial"/>
        <color rgb="FF000000"/>
        <sz val="10.0"/>
      </rPr>
      <t>1.4/(0.71 - 0.01·</t>
    </r>
    <r>
      <rPr>
        <rFont val="Symbol"/>
        <i/>
        <color rgb="FF000000"/>
        <sz val="10.0"/>
      </rPr>
      <t>f</t>
    </r>
    <r>
      <rPr>
        <rFont val="Arial"/>
        <color rgb="FF000000"/>
        <sz val="10.0"/>
      </rPr>
      <t>) =</t>
    </r>
  </si>
  <si>
    <r>
      <rPr>
        <rFont val="Arial"/>
        <color rgb="FF000000"/>
        <sz val="10.0"/>
      </rPr>
      <t>0.58 - 0.01·</t>
    </r>
    <r>
      <rPr>
        <rFont val="Symbol"/>
        <i/>
        <color rgb="FF000000"/>
        <sz val="10.0"/>
      </rPr>
      <t>f =</t>
    </r>
  </si>
  <si>
    <r>
      <rPr>
        <rFont val="Arial"/>
        <color rgb="FF000000"/>
        <sz val="10.0"/>
      </rPr>
      <t>1.4/(0.58 - 0.01·</t>
    </r>
    <r>
      <rPr>
        <rFont val="Symbol"/>
        <i/>
        <color rgb="FF000000"/>
        <sz val="10.0"/>
      </rPr>
      <t>f</t>
    </r>
    <r>
      <rPr>
        <rFont val="Arial"/>
        <color rgb="FF000000"/>
        <sz val="10.0"/>
      </rPr>
      <t>) =</t>
    </r>
  </si>
  <si>
    <r>
      <rPr>
        <rFont val="Arial"/>
        <i/>
        <color theme="1"/>
        <sz val="10.0"/>
      </rPr>
      <t>q</t>
    </r>
    <r>
      <rPr>
        <rFont val="Arial"/>
        <i/>
        <color theme="1"/>
        <sz val="10.0"/>
        <vertAlign val="subscript"/>
      </rPr>
      <t>B</t>
    </r>
  </si>
  <si>
    <r>
      <rPr>
        <rFont val="Arial"/>
        <color theme="1"/>
        <sz val="10.0"/>
      </rPr>
      <t>lbf/in.</t>
    </r>
    <r>
      <rPr>
        <rFont val="Arial"/>
        <color theme="1"/>
        <sz val="10.0"/>
        <vertAlign val="superscript"/>
      </rPr>
      <t>2</t>
    </r>
  </si>
  <si>
    <r>
      <rPr>
        <rFont val="Arial"/>
        <color rgb="FF000000"/>
        <sz val="10.0"/>
      </rPr>
      <t>0.77 - 0.01·</t>
    </r>
    <r>
      <rPr>
        <rFont val="Symbol"/>
        <i/>
        <color rgb="FF000000"/>
        <sz val="10.0"/>
      </rPr>
      <t>f =</t>
    </r>
  </si>
  <si>
    <r>
      <rPr>
        <rFont val="Arial"/>
        <color rgb="FF000000"/>
        <sz val="10.0"/>
      </rPr>
      <t>1.4/(0.77 - 0.01·</t>
    </r>
    <r>
      <rPr>
        <rFont val="Symbol"/>
        <i/>
        <color rgb="FF000000"/>
        <sz val="10.0"/>
      </rPr>
      <t>f</t>
    </r>
    <r>
      <rPr>
        <rFont val="Arial"/>
        <color rgb="FF000000"/>
        <sz val="10.0"/>
      </rPr>
      <t>) =</t>
    </r>
  </si>
  <si>
    <r>
      <rPr>
        <rFont val="Arial"/>
        <i/>
        <color theme="1"/>
        <sz val="10.0"/>
      </rPr>
      <t>R</t>
    </r>
    <r>
      <rPr>
        <rFont val="Arial"/>
        <i/>
        <color theme="1"/>
        <sz val="10.0"/>
        <vertAlign val="subscript"/>
      </rPr>
      <t>B</t>
    </r>
  </si>
  <si>
    <r>
      <rPr>
        <rFont val="Arial"/>
        <i/>
        <color theme="1"/>
        <sz val="10.0"/>
      </rPr>
      <t>f</t>
    </r>
    <r>
      <rPr>
        <rFont val="Arial"/>
        <i/>
        <color theme="1"/>
        <sz val="10.0"/>
        <vertAlign val="subscript"/>
      </rPr>
      <t>B</t>
    </r>
  </si>
  <si>
    <r>
      <rPr>
        <rFont val="Arial"/>
        <i/>
        <color theme="1"/>
        <sz val="10.0"/>
      </rPr>
      <t>d</t>
    </r>
    <r>
      <rPr>
        <rFont val="Arial"/>
        <i/>
        <color theme="1"/>
        <sz val="10.0"/>
        <vertAlign val="subscript"/>
      </rPr>
      <t>W</t>
    </r>
  </si>
  <si>
    <r>
      <rPr>
        <rFont val="Arial"/>
        <i/>
        <color theme="1"/>
        <sz val="10.0"/>
      </rPr>
      <t>q</t>
    </r>
    <r>
      <rPr>
        <rFont val="Arial"/>
        <i/>
        <color theme="1"/>
        <sz val="10.0"/>
        <vertAlign val="subscript"/>
      </rPr>
      <t>0</t>
    </r>
  </si>
  <si>
    <r>
      <rPr>
        <rFont val="Arial"/>
        <color theme="1"/>
        <sz val="10.0"/>
      </rPr>
      <t xml:space="preserve">Total overburden pressure at footing depth </t>
    </r>
    <r>
      <rPr>
        <rFont val="Arial"/>
        <i/>
        <color theme="1"/>
        <sz val="10.0"/>
      </rPr>
      <t>d</t>
    </r>
    <r>
      <rPr>
        <rFont val="Arial"/>
        <i/>
        <color theme="1"/>
        <sz val="10.0"/>
        <vertAlign val="subscript"/>
      </rPr>
      <t>F</t>
    </r>
  </si>
  <si>
    <r>
      <rPr>
        <rFont val="Arial"/>
        <color theme="1"/>
        <sz val="10.0"/>
      </rPr>
      <t>lbf/in</t>
    </r>
    <r>
      <rPr>
        <rFont val="Arial"/>
        <color theme="1"/>
        <sz val="10.0"/>
        <vertAlign val="superscript"/>
      </rPr>
      <t>2</t>
    </r>
  </si>
  <si>
    <r>
      <rPr>
        <rFont val="Arial"/>
        <i/>
        <color theme="1"/>
        <sz val="10.0"/>
      </rPr>
      <t>q</t>
    </r>
    <r>
      <rPr>
        <rFont val="Arial"/>
        <i/>
        <color theme="1"/>
        <sz val="10.0"/>
        <vertAlign val="subscript"/>
      </rPr>
      <t>0</t>
    </r>
    <r>
      <rPr>
        <rFont val="Arial"/>
        <i val="0"/>
        <color theme="1"/>
        <sz val="10.0"/>
      </rPr>
      <t>/</t>
    </r>
    <r>
      <rPr>
        <rFont val="Arial"/>
        <i/>
        <color theme="1"/>
        <sz val="10.0"/>
      </rPr>
      <t>d</t>
    </r>
    <r>
      <rPr>
        <rFont val="Arial"/>
        <i/>
        <color theme="1"/>
        <sz val="10.0"/>
        <vertAlign val="subscript"/>
      </rPr>
      <t>F</t>
    </r>
  </si>
  <si>
    <r>
      <rPr>
        <rFont val="Arial"/>
        <color theme="1"/>
        <sz val="10.0"/>
      </rPr>
      <t>lbf/ft</t>
    </r>
    <r>
      <rPr>
        <rFont val="Arial"/>
        <color theme="1"/>
        <sz val="10.0"/>
        <vertAlign val="superscript"/>
      </rPr>
      <t>3</t>
    </r>
  </si>
  <si>
    <r>
      <rPr>
        <rFont val="Arial"/>
        <i/>
        <color theme="1"/>
        <sz val="10.0"/>
      </rPr>
      <t>C</t>
    </r>
    <r>
      <rPr>
        <rFont val="Arial"/>
        <i/>
        <color theme="1"/>
        <sz val="10.0"/>
        <vertAlign val="subscript"/>
      </rPr>
      <t>w1</t>
    </r>
  </si>
  <si>
    <r>
      <rPr>
        <rFont val="Arial"/>
        <color theme="1"/>
        <sz val="10.0"/>
      </rPr>
      <t xml:space="preserve">0.5 when </t>
    </r>
    <r>
      <rPr>
        <rFont val="Arial"/>
        <i/>
        <color theme="1"/>
        <sz val="10.0"/>
      </rPr>
      <t>d</t>
    </r>
    <r>
      <rPr>
        <rFont val="Arial"/>
        <i/>
        <color theme="1"/>
        <sz val="10.0"/>
        <vertAlign val="subscript"/>
      </rPr>
      <t>W</t>
    </r>
    <r>
      <rPr>
        <rFont val="Arial"/>
        <color theme="1"/>
        <sz val="10.0"/>
        <vertAlign val="subscript"/>
      </rPr>
      <t xml:space="preserve"> </t>
    </r>
    <r>
      <rPr>
        <rFont val="Arial"/>
        <color theme="1"/>
        <sz val="10.0"/>
      </rPr>
      <t>&lt;</t>
    </r>
    <r>
      <rPr>
        <rFont val="Arial"/>
        <i/>
        <color theme="1"/>
        <sz val="10.0"/>
      </rPr>
      <t xml:space="preserve"> d</t>
    </r>
    <r>
      <rPr>
        <rFont val="Arial"/>
        <i/>
        <color theme="1"/>
        <sz val="10.0"/>
        <vertAlign val="subscript"/>
      </rPr>
      <t>F</t>
    </r>
    <r>
      <rPr>
        <rFont val="Arial"/>
        <color theme="1"/>
        <sz val="10.0"/>
      </rPr>
      <t xml:space="preserve">; 1.0 when </t>
    </r>
    <r>
      <rPr>
        <rFont val="Arial"/>
        <i/>
        <color theme="1"/>
        <sz val="10.0"/>
      </rPr>
      <t>d</t>
    </r>
    <r>
      <rPr>
        <rFont val="Arial"/>
        <i/>
        <color theme="1"/>
        <sz val="10.0"/>
        <vertAlign val="subscript"/>
      </rPr>
      <t>W</t>
    </r>
    <r>
      <rPr>
        <rFont val="Arial"/>
        <color theme="1"/>
        <sz val="10.0"/>
      </rPr>
      <t xml:space="preserve">  &gt; 1.5</t>
    </r>
    <r>
      <rPr>
        <rFont val="Arial"/>
        <i/>
        <color theme="1"/>
        <sz val="10.0"/>
      </rPr>
      <t>B</t>
    </r>
    <r>
      <rPr>
        <rFont val="Arial"/>
        <color theme="1"/>
        <sz val="10.0"/>
      </rPr>
      <t xml:space="preserve"> +</t>
    </r>
    <r>
      <rPr>
        <rFont val="Arial"/>
        <i/>
        <color theme="1"/>
        <sz val="10.0"/>
      </rPr>
      <t xml:space="preserve"> d</t>
    </r>
    <r>
      <rPr>
        <rFont val="Arial"/>
        <i/>
        <color theme="1"/>
        <sz val="10.0"/>
        <vertAlign val="subscript"/>
      </rPr>
      <t>F</t>
    </r>
    <r>
      <rPr>
        <rFont val="Arial"/>
        <i/>
        <color theme="1"/>
        <sz val="10.0"/>
      </rPr>
      <t>;</t>
    </r>
    <r>
      <rPr>
        <rFont val="Arial"/>
        <color theme="1"/>
        <sz val="10.0"/>
      </rPr>
      <t xml:space="preserve"> 0.5 + (</t>
    </r>
    <r>
      <rPr>
        <rFont val="Arial"/>
        <i/>
        <color theme="1"/>
        <sz val="10.0"/>
      </rPr>
      <t>d</t>
    </r>
    <r>
      <rPr>
        <rFont val="Arial"/>
        <i/>
        <color theme="1"/>
        <sz val="10.0"/>
        <vertAlign val="subscript"/>
      </rPr>
      <t>W</t>
    </r>
    <r>
      <rPr>
        <rFont val="Arial"/>
        <color theme="1"/>
        <sz val="10.0"/>
      </rPr>
      <t>-</t>
    </r>
    <r>
      <rPr>
        <rFont val="Arial"/>
        <i/>
        <color theme="1"/>
        <sz val="10.0"/>
      </rPr>
      <t>d</t>
    </r>
    <r>
      <rPr>
        <rFont val="Arial"/>
        <i/>
        <color theme="1"/>
        <sz val="10.0"/>
        <vertAlign val="subscript"/>
      </rPr>
      <t>F</t>
    </r>
    <r>
      <rPr>
        <rFont val="Arial"/>
        <color theme="1"/>
        <sz val="10.0"/>
      </rPr>
      <t xml:space="preserve">)/(3B)  when </t>
    </r>
    <r>
      <rPr>
        <rFont val="Arial"/>
        <i/>
        <color theme="1"/>
        <sz val="10.0"/>
      </rPr>
      <t>d</t>
    </r>
    <r>
      <rPr>
        <rFont val="Arial"/>
        <i/>
        <color theme="1"/>
        <sz val="10.0"/>
        <vertAlign val="subscript"/>
      </rPr>
      <t>F</t>
    </r>
    <r>
      <rPr>
        <rFont val="Arial"/>
        <color theme="1"/>
        <sz val="10.0"/>
      </rPr>
      <t xml:space="preserve"> &lt; </t>
    </r>
    <r>
      <rPr>
        <rFont val="Arial"/>
        <i/>
        <color theme="1"/>
        <sz val="10.0"/>
      </rPr>
      <t>d</t>
    </r>
    <r>
      <rPr>
        <rFont val="Arial"/>
        <i/>
        <color theme="1"/>
        <sz val="10.0"/>
        <vertAlign val="subscript"/>
      </rPr>
      <t>W</t>
    </r>
    <r>
      <rPr>
        <rFont val="Arial"/>
        <color theme="1"/>
        <sz val="10.0"/>
      </rPr>
      <t xml:space="preserve"> &lt; 1.5</t>
    </r>
    <r>
      <rPr>
        <rFont val="Arial"/>
        <i/>
        <color theme="1"/>
        <sz val="10.0"/>
      </rPr>
      <t>B</t>
    </r>
    <r>
      <rPr>
        <rFont val="Arial"/>
        <color theme="1"/>
        <sz val="10.0"/>
      </rPr>
      <t xml:space="preserve"> + </t>
    </r>
    <r>
      <rPr>
        <rFont val="Arial"/>
        <i/>
        <color theme="1"/>
        <sz val="10.0"/>
      </rPr>
      <t>d</t>
    </r>
    <r>
      <rPr>
        <rFont val="Arial"/>
        <i/>
        <color theme="1"/>
        <sz val="10.0"/>
        <vertAlign val="subscript"/>
      </rPr>
      <t>F</t>
    </r>
  </si>
  <si>
    <r>
      <rPr>
        <rFont val="Arial"/>
        <i/>
        <color theme="1"/>
        <sz val="10.0"/>
      </rPr>
      <t>C</t>
    </r>
    <r>
      <rPr>
        <rFont val="Arial"/>
        <i/>
        <color theme="1"/>
        <sz val="10.0"/>
        <vertAlign val="subscript"/>
      </rPr>
      <t>w2</t>
    </r>
  </si>
  <si>
    <r>
      <rPr>
        <rFont val="Arial"/>
        <color theme="1"/>
        <sz val="10.0"/>
      </rPr>
      <t>0.5 + 0.5 d</t>
    </r>
    <r>
      <rPr>
        <rFont val="Arial"/>
        <color theme="1"/>
        <sz val="10.0"/>
        <vertAlign val="subscript"/>
      </rPr>
      <t>W</t>
    </r>
    <r>
      <rPr>
        <rFont val="Arial"/>
        <color theme="1"/>
        <sz val="10.0"/>
      </rPr>
      <t>/d</t>
    </r>
    <r>
      <rPr>
        <rFont val="Arial"/>
        <color theme="1"/>
        <sz val="10.0"/>
        <vertAlign val="subscript"/>
      </rPr>
      <t>F</t>
    </r>
    <r>
      <rPr>
        <rFont val="Arial"/>
        <color theme="1"/>
        <sz val="10.0"/>
      </rPr>
      <t xml:space="preserve"> when d</t>
    </r>
    <r>
      <rPr>
        <rFont val="Arial"/>
        <color theme="1"/>
        <sz val="10.0"/>
        <vertAlign val="subscript"/>
      </rPr>
      <t>W</t>
    </r>
    <r>
      <rPr>
        <rFont val="Arial"/>
        <color theme="1"/>
        <sz val="10.0"/>
      </rPr>
      <t xml:space="preserve"> &lt; d</t>
    </r>
    <r>
      <rPr>
        <rFont val="Arial"/>
        <color theme="1"/>
        <sz val="10.0"/>
        <vertAlign val="subscript"/>
      </rPr>
      <t>F</t>
    </r>
    <r>
      <rPr>
        <rFont val="Arial"/>
        <color theme="1"/>
        <sz val="10.0"/>
      </rPr>
      <t xml:space="preserve"> else equal to 1.0</t>
    </r>
  </si>
  <si>
    <r>
      <rPr>
        <rFont val="Arial"/>
        <i/>
        <color theme="1"/>
        <sz val="10.0"/>
      </rPr>
      <t>B</t>
    </r>
    <r>
      <rPr>
        <rFont val="Arial"/>
        <i val="0"/>
        <color theme="1"/>
        <sz val="10.0"/>
        <vertAlign val="superscript"/>
      </rPr>
      <t>2</t>
    </r>
    <r>
      <rPr>
        <rFont val="Arial"/>
        <i val="0"/>
        <color theme="1"/>
        <sz val="10.0"/>
      </rPr>
      <t xml:space="preserve"> for square footing, 3.14*</t>
    </r>
    <r>
      <rPr>
        <rFont val="Arial"/>
        <i/>
        <color theme="1"/>
        <sz val="10.0"/>
      </rPr>
      <t>B</t>
    </r>
    <r>
      <rPr>
        <rFont val="Arial"/>
        <i val="0"/>
        <color theme="1"/>
        <sz val="10.0"/>
        <vertAlign val="superscript"/>
      </rPr>
      <t>2</t>
    </r>
    <r>
      <rPr>
        <rFont val="Arial"/>
        <i val="0"/>
        <color theme="1"/>
        <sz val="10.0"/>
      </rPr>
      <t>/4 for round footing</t>
    </r>
  </si>
  <si>
    <r>
      <rPr>
        <rFont val="Arial"/>
        <color theme="1"/>
        <sz val="10.0"/>
      </rPr>
      <t>in</t>
    </r>
    <r>
      <rPr>
        <rFont val="Arial"/>
        <color theme="1"/>
        <sz val="10.0"/>
        <vertAlign val="superscript"/>
      </rPr>
      <t>2</t>
    </r>
  </si>
  <si>
    <r>
      <rPr>
        <rFont val="Arial"/>
        <i/>
        <color theme="1"/>
        <sz val="10.0"/>
      </rPr>
      <t>Max P</t>
    </r>
    <r>
      <rPr>
        <rFont val="Arial"/>
        <i/>
        <color theme="1"/>
        <sz val="10.0"/>
        <vertAlign val="subscript"/>
      </rPr>
      <t>LRFD</t>
    </r>
  </si>
  <si>
    <r>
      <rPr>
        <rFont val="Arial"/>
        <color theme="1"/>
        <sz val="10.0"/>
      </rPr>
      <t>(</t>
    </r>
    <r>
      <rPr>
        <rFont val="Arial"/>
        <i/>
        <color theme="1"/>
        <sz val="10.0"/>
      </rPr>
      <t>q</t>
    </r>
    <r>
      <rPr>
        <rFont val="Arial"/>
        <i/>
        <color theme="1"/>
        <sz val="10.0"/>
        <vertAlign val="subscript"/>
      </rPr>
      <t>B</t>
    </r>
    <r>
      <rPr>
        <rFont val="Arial"/>
        <color theme="1"/>
        <sz val="10.0"/>
        <vertAlign val="subscript"/>
      </rPr>
      <t xml:space="preserve">  </t>
    </r>
    <r>
      <rPr>
        <rFont val="Arial"/>
        <color theme="1"/>
        <sz val="10.0"/>
      </rPr>
      <t>-</t>
    </r>
    <r>
      <rPr>
        <rFont val="Arial"/>
        <i/>
        <color theme="1"/>
        <sz val="10.0"/>
      </rPr>
      <t>q</t>
    </r>
    <r>
      <rPr>
        <rFont val="Arial"/>
        <i/>
        <color theme="1"/>
        <sz val="10.0"/>
        <vertAlign val="subscript"/>
      </rPr>
      <t>0</t>
    </r>
    <r>
      <rPr>
        <rFont val="Arial"/>
        <color theme="1"/>
        <sz val="10.0"/>
      </rPr>
      <t>)*</t>
    </r>
    <r>
      <rPr>
        <rFont val="Arial"/>
        <i/>
        <color theme="1"/>
        <sz val="10.0"/>
      </rPr>
      <t>A*R</t>
    </r>
    <r>
      <rPr>
        <rFont val="Arial"/>
        <i/>
        <color theme="1"/>
        <sz val="10.0"/>
        <vertAlign val="subscript"/>
      </rPr>
      <t>B</t>
    </r>
  </si>
  <si>
    <r>
      <rPr>
        <rFont val="Arial"/>
        <i/>
        <color theme="1"/>
        <sz val="10.0"/>
      </rPr>
      <t>Max P</t>
    </r>
    <r>
      <rPr>
        <rFont val="Arial"/>
        <i/>
        <color theme="1"/>
        <sz val="10.0"/>
        <vertAlign val="subscript"/>
      </rPr>
      <t>ASD</t>
    </r>
  </si>
  <si>
    <r>
      <rPr>
        <rFont val="Arial"/>
        <color theme="1"/>
        <sz val="10.0"/>
      </rPr>
      <t>(</t>
    </r>
    <r>
      <rPr>
        <rFont val="Arial"/>
        <i/>
        <color theme="1"/>
        <sz val="10.0"/>
      </rPr>
      <t>q</t>
    </r>
    <r>
      <rPr>
        <rFont val="Arial"/>
        <i/>
        <color theme="1"/>
        <sz val="10.0"/>
        <vertAlign val="subscript"/>
      </rPr>
      <t>B</t>
    </r>
    <r>
      <rPr>
        <rFont val="Arial"/>
        <color theme="1"/>
        <sz val="10.0"/>
        <vertAlign val="subscript"/>
      </rPr>
      <t xml:space="preserve">  </t>
    </r>
    <r>
      <rPr>
        <rFont val="Arial"/>
        <color theme="1"/>
        <sz val="10.0"/>
      </rPr>
      <t>-</t>
    </r>
    <r>
      <rPr>
        <rFont val="Arial"/>
        <i/>
        <color theme="1"/>
        <sz val="10.0"/>
      </rPr>
      <t>q</t>
    </r>
    <r>
      <rPr>
        <rFont val="Arial"/>
        <i/>
        <color theme="1"/>
        <sz val="10.0"/>
        <vertAlign val="subscript"/>
      </rPr>
      <t>0</t>
    </r>
    <r>
      <rPr>
        <rFont val="Arial"/>
        <color theme="1"/>
        <sz val="10.0"/>
      </rPr>
      <t>)*</t>
    </r>
    <r>
      <rPr>
        <rFont val="Arial"/>
        <i/>
        <color theme="1"/>
        <sz val="10.0"/>
      </rPr>
      <t>A</t>
    </r>
    <r>
      <rPr>
        <rFont val="Arial"/>
        <color theme="1"/>
        <sz val="10.0"/>
      </rPr>
      <t>/</t>
    </r>
    <r>
      <rPr>
        <rFont val="Arial"/>
        <i/>
        <color theme="1"/>
        <sz val="10.0"/>
      </rPr>
      <t>f</t>
    </r>
    <r>
      <rPr>
        <rFont val="Arial"/>
        <i/>
        <color theme="1"/>
        <sz val="10.0"/>
        <vertAlign val="subscript"/>
      </rPr>
      <t>B</t>
    </r>
  </si>
  <si>
    <r>
      <rPr>
        <rFont val="Arial"/>
        <b/>
        <color rgb="FFFFFFFF"/>
        <sz val="14.0"/>
      </rPr>
      <t xml:space="preserve"> Ultimate Bearing Capacity,</t>
    </r>
    <r>
      <rPr>
        <rFont val="Arial"/>
        <b/>
        <i/>
        <color rgb="FFFFFFFF"/>
        <sz val="14.0"/>
      </rPr>
      <t xml:space="preserve"> q</t>
    </r>
    <r>
      <rPr>
        <rFont val="Arial"/>
        <b/>
        <i/>
        <color rgb="FFFFFFFF"/>
        <sz val="14.0"/>
        <vertAlign val="subscript"/>
      </rPr>
      <t>B</t>
    </r>
    <r>
      <rPr>
        <rFont val="Arial"/>
        <b/>
        <i/>
        <color rgb="FFFFFFFF"/>
        <sz val="14.0"/>
      </rPr>
      <t xml:space="preserve"> </t>
    </r>
  </si>
  <si>
    <r>
      <rPr>
        <rFont val="Arial"/>
        <b/>
        <color theme="1"/>
        <sz val="10.0"/>
      </rPr>
      <t xml:space="preserve">Fill in the yellow cell(s) in the table below that corresponds to the methodology you are applying.  Transfer resulting </t>
    </r>
    <r>
      <rPr>
        <rFont val="Arial"/>
        <b/>
        <i/>
        <color theme="1"/>
        <sz val="10.0"/>
      </rPr>
      <t>q</t>
    </r>
    <r>
      <rPr>
        <rFont val="Arial"/>
        <b/>
        <i/>
        <color theme="1"/>
        <sz val="10.0"/>
        <vertAlign val="subscript"/>
      </rPr>
      <t>B</t>
    </r>
    <r>
      <rPr>
        <rFont val="Arial"/>
        <b/>
        <color theme="1"/>
        <sz val="10.0"/>
      </rPr>
      <t xml:space="preserve"> value to table above.</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</si>
  <si>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Saturated Clay from the General Bearing Capacity Equation (Clause 10.4.1)</t>
    </r>
  </si>
  <si>
    <r>
      <rPr>
        <rFont val="Arial"/>
        <i/>
        <color theme="1"/>
        <sz val="10.0"/>
      </rPr>
      <t>q</t>
    </r>
    <r>
      <rPr>
        <rFont val="Arial"/>
        <i/>
        <color theme="1"/>
        <sz val="10.0"/>
        <vertAlign val="subscript"/>
      </rPr>
      <t>B</t>
    </r>
    <r>
      <rPr>
        <rFont val="Arial"/>
        <i/>
        <color theme="1"/>
        <sz val="10.0"/>
      </rPr>
      <t xml:space="preserve"> </t>
    </r>
  </si>
  <si>
    <r>
      <rPr>
        <rFont val="Arial"/>
        <i/>
        <color theme="1"/>
        <sz val="10.0"/>
      </rPr>
      <t>S</t>
    </r>
    <r>
      <rPr>
        <rFont val="Arial"/>
        <i/>
        <color theme="1"/>
        <sz val="10.0"/>
        <vertAlign val="subscript"/>
      </rPr>
      <t>U</t>
    </r>
    <r>
      <rPr>
        <rFont val="Arial"/>
        <i/>
        <color theme="1"/>
        <sz val="10.0"/>
      </rPr>
      <t>N</t>
    </r>
    <r>
      <rPr>
        <rFont val="Arial"/>
        <i/>
        <color theme="1"/>
        <sz val="10.0"/>
        <vertAlign val="subscript"/>
      </rPr>
      <t>C</t>
    </r>
    <r>
      <rPr>
        <rFont val="Arial"/>
        <i/>
        <color theme="1"/>
        <sz val="10.0"/>
      </rPr>
      <t>d</t>
    </r>
    <r>
      <rPr>
        <rFont val="Arial"/>
        <i/>
        <color theme="1"/>
        <sz val="10.0"/>
        <vertAlign val="subscript"/>
      </rPr>
      <t>C</t>
    </r>
    <r>
      <rPr>
        <rFont val="Arial"/>
        <i/>
        <color theme="1"/>
        <sz val="10.0"/>
      </rPr>
      <t>s</t>
    </r>
    <r>
      <rPr>
        <rFont val="Arial"/>
        <i/>
        <color theme="1"/>
        <sz val="10.0"/>
        <vertAlign val="subscript"/>
      </rPr>
      <t>C</t>
    </r>
    <r>
      <rPr>
        <rFont val="Arial"/>
        <i/>
        <color theme="1"/>
        <sz val="10.0"/>
      </rPr>
      <t xml:space="preserve"> </t>
    </r>
    <r>
      <rPr>
        <rFont val="Arial"/>
        <i val="0"/>
        <color theme="1"/>
        <sz val="10.0"/>
      </rPr>
      <t xml:space="preserve">+ </t>
    </r>
    <r>
      <rPr>
        <rFont val="Arial"/>
        <i/>
        <color theme="1"/>
        <sz val="10.0"/>
      </rPr>
      <t>q</t>
    </r>
    <r>
      <rPr>
        <rFont val="Arial"/>
        <i/>
        <color theme="1"/>
        <sz val="10.0"/>
        <vertAlign val="subscript"/>
      </rPr>
      <t>0</t>
    </r>
  </si>
  <si>
    <r>
      <rPr>
        <rFont val="Arial"/>
        <color theme="1"/>
        <sz val="10.0"/>
      </rPr>
      <t>lbf/in.</t>
    </r>
    <r>
      <rPr>
        <rFont val="Arial"/>
        <color theme="1"/>
        <sz val="10.0"/>
        <vertAlign val="superscript"/>
      </rPr>
      <t>2</t>
    </r>
  </si>
  <si>
    <r>
      <rPr>
        <rFont val="Arial"/>
        <i/>
        <color theme="1"/>
        <sz val="10.0"/>
      </rPr>
      <t>S</t>
    </r>
    <r>
      <rPr>
        <rFont val="Arial"/>
        <i/>
        <color theme="1"/>
        <sz val="10.0"/>
        <vertAlign val="subscript"/>
      </rPr>
      <t>U</t>
    </r>
  </si>
  <si>
    <r>
      <rPr>
        <rFont val="Arial"/>
        <color theme="1"/>
        <sz val="10.0"/>
      </rPr>
      <t xml:space="preserve">Undrained shear strength for soil located between </t>
    </r>
    <r>
      <rPr>
        <rFont val="Arial"/>
        <i/>
        <color theme="1"/>
        <sz val="10.0"/>
      </rPr>
      <t>d</t>
    </r>
    <r>
      <rPr>
        <rFont val="Arial"/>
        <i/>
        <color theme="1"/>
        <sz val="10.0"/>
        <vertAlign val="subscript"/>
      </rPr>
      <t>F</t>
    </r>
    <r>
      <rPr>
        <rFont val="Arial"/>
        <color theme="1"/>
        <sz val="10.0"/>
      </rPr>
      <t xml:space="preserve"> and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xml:space="preserve">). Numerically equal to cohesion, </t>
    </r>
    <r>
      <rPr>
        <rFont val="Arial"/>
        <i/>
        <color theme="1"/>
        <sz val="10.0"/>
      </rPr>
      <t>c,</t>
    </r>
    <r>
      <rPr>
        <rFont val="Arial"/>
        <color theme="1"/>
        <sz val="10.0"/>
      </rPr>
      <t xml:space="preserve"> for a saturated clay soil</t>
    </r>
  </si>
  <si>
    <r>
      <rPr>
        <rFont val="Arial"/>
        <color theme="1"/>
        <sz val="10.0"/>
      </rPr>
      <t>lbf/in.</t>
    </r>
    <r>
      <rPr>
        <rFont val="Arial"/>
        <color theme="1"/>
        <sz val="10.0"/>
        <vertAlign val="superscript"/>
      </rPr>
      <t>2</t>
    </r>
  </si>
  <si>
    <r>
      <rPr>
        <rFont val="Arial"/>
        <i/>
        <color theme="1"/>
        <sz val="10.0"/>
      </rPr>
      <t>d</t>
    </r>
    <r>
      <rPr>
        <rFont val="Arial"/>
        <i/>
        <color theme="1"/>
        <sz val="10.0"/>
        <vertAlign val="subscript"/>
      </rPr>
      <t>c</t>
    </r>
  </si>
  <si>
    <r>
      <rPr>
        <rFont val="Arial"/>
        <color theme="1"/>
        <sz val="10.0"/>
      </rPr>
      <t xml:space="preserve">1 + 0.2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xml:space="preserve"> for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 xml:space="preserve"> &lt; 2.5 else equal to 1.5</t>
    </r>
  </si>
  <si>
    <r>
      <rPr>
        <rFont val="Arial"/>
        <i/>
        <color theme="1"/>
        <sz val="10.0"/>
      </rPr>
      <t>N</t>
    </r>
    <r>
      <rPr>
        <rFont val="Arial"/>
        <i/>
        <color theme="1"/>
        <sz val="10.0"/>
        <vertAlign val="subscript"/>
      </rPr>
      <t>C</t>
    </r>
  </si>
  <si>
    <r>
      <rPr>
        <rFont val="Arial"/>
        <color theme="1"/>
        <sz val="10.0"/>
      </rPr>
      <t xml:space="preserve">5.14 for </t>
    </r>
    <r>
      <rPr>
        <rFont val="Symbol"/>
        <color theme="1"/>
        <sz val="10.0"/>
      </rPr>
      <t>f</t>
    </r>
    <r>
      <rPr>
        <rFont val="Arial"/>
        <color theme="1"/>
        <sz val="10.0"/>
      </rPr>
      <t xml:space="preserve"> = 0</t>
    </r>
  </si>
  <si>
    <r>
      <rPr>
        <rFont val="Arial"/>
        <i/>
        <color theme="1"/>
        <sz val="10.0"/>
      </rPr>
      <t>s</t>
    </r>
    <r>
      <rPr>
        <rFont val="Arial"/>
        <i/>
        <color theme="1"/>
        <sz val="10.0"/>
        <vertAlign val="subscript"/>
      </rPr>
      <t>c</t>
    </r>
  </si>
  <si>
    <r>
      <rPr>
        <rFont val="Arial"/>
        <b/>
        <i/>
        <color rgb="FFFFFFFF"/>
        <sz val="12.0"/>
      </rPr>
      <t>q</t>
    </r>
    <r>
      <rPr>
        <rFont val="Arial"/>
        <b/>
        <i/>
        <color rgb="FFFFFFFF"/>
        <sz val="12.0"/>
        <vertAlign val="subscript"/>
      </rPr>
      <t>B</t>
    </r>
    <r>
      <rPr>
        <rFont val="Arial"/>
        <b/>
        <i/>
        <color rgb="FFFFFFFF"/>
        <sz val="12.0"/>
      </rPr>
      <t xml:space="preserve"> </t>
    </r>
    <r>
      <rPr>
        <rFont val="Arial"/>
        <b/>
        <i val="0"/>
        <color rgb="FFFFFFFF"/>
        <sz val="12.0"/>
      </rPr>
      <t>for Cohesionless Soils from the General Bearing Capacity Equation (Clause 10.4.1)</t>
    </r>
  </si>
  <si>
    <r>
      <rPr>
        <rFont val="Arial"/>
        <i/>
        <color theme="1"/>
        <sz val="10.0"/>
      </rPr>
      <t>q</t>
    </r>
    <r>
      <rPr>
        <rFont val="Arial"/>
        <i/>
        <color theme="1"/>
        <sz val="10.0"/>
        <vertAlign val="subscript"/>
      </rPr>
      <t>B</t>
    </r>
    <r>
      <rPr>
        <rFont val="Arial"/>
        <i/>
        <color theme="1"/>
        <sz val="10.0"/>
      </rPr>
      <t xml:space="preserve"> </t>
    </r>
  </si>
  <si>
    <r>
      <rPr>
        <rFont val="Arial"/>
        <i/>
        <color theme="1"/>
        <sz val="10.0"/>
      </rPr>
      <t>0.5</t>
    </r>
    <r>
      <rPr>
        <rFont val="Symbol"/>
        <i/>
        <color theme="1"/>
        <sz val="10.0"/>
      </rPr>
      <t>g</t>
    </r>
    <r>
      <rPr>
        <rFont val="Arial"/>
        <i/>
        <color theme="1"/>
        <sz val="10.0"/>
      </rPr>
      <t>BC</t>
    </r>
    <r>
      <rPr>
        <rFont val="Arial"/>
        <i/>
        <color theme="1"/>
        <sz val="10.0"/>
        <vertAlign val="subscript"/>
      </rPr>
      <t>W1</t>
    </r>
    <r>
      <rPr>
        <rFont val="Arial"/>
        <i/>
        <color theme="1"/>
        <sz val="10.0"/>
      </rPr>
      <t>N</t>
    </r>
    <r>
      <rPr>
        <rFont val="Symbol"/>
        <i/>
        <color theme="1"/>
        <sz val="10.0"/>
        <vertAlign val="subscript"/>
      </rPr>
      <t>g</t>
    </r>
    <r>
      <rPr>
        <rFont val="Arial"/>
        <i/>
        <color theme="1"/>
        <sz val="10.0"/>
      </rPr>
      <t>s</t>
    </r>
    <r>
      <rPr>
        <rFont val="Symbol"/>
        <i/>
        <color theme="1"/>
        <sz val="10.0"/>
        <vertAlign val="subscript"/>
      </rPr>
      <t>g</t>
    </r>
    <r>
      <rPr>
        <rFont val="Arial"/>
        <i/>
        <color theme="1"/>
        <sz val="10.0"/>
      </rPr>
      <t xml:space="preserve"> + q</t>
    </r>
    <r>
      <rPr>
        <rFont val="Arial"/>
        <i/>
        <color theme="1"/>
        <sz val="10.0"/>
        <vertAlign val="subscript"/>
      </rPr>
      <t>0</t>
    </r>
    <r>
      <rPr>
        <rFont val="Arial"/>
        <i/>
        <color theme="1"/>
        <sz val="10.0"/>
      </rPr>
      <t>C</t>
    </r>
    <r>
      <rPr>
        <rFont val="Arial"/>
        <i/>
        <color theme="1"/>
        <sz val="10.0"/>
        <vertAlign val="subscript"/>
      </rPr>
      <t>W2</t>
    </r>
    <r>
      <rPr>
        <rFont val="Arial"/>
        <i/>
        <color theme="1"/>
        <sz val="10.0"/>
      </rPr>
      <t>N</t>
    </r>
    <r>
      <rPr>
        <rFont val="Arial"/>
        <i/>
        <color theme="1"/>
        <sz val="10.0"/>
        <vertAlign val="subscript"/>
      </rPr>
      <t>q</t>
    </r>
    <r>
      <rPr>
        <rFont val="Arial"/>
        <i/>
        <color theme="1"/>
        <sz val="10.0"/>
      </rPr>
      <t>d</t>
    </r>
    <r>
      <rPr>
        <rFont val="Arial"/>
        <i/>
        <color theme="1"/>
        <sz val="10.0"/>
        <vertAlign val="subscript"/>
      </rPr>
      <t>q</t>
    </r>
    <r>
      <rPr>
        <rFont val="Arial"/>
        <i/>
        <color theme="1"/>
        <sz val="10.0"/>
      </rPr>
      <t>s</t>
    </r>
    <r>
      <rPr>
        <rFont val="Arial"/>
        <i/>
        <color theme="1"/>
        <sz val="10.0"/>
        <vertAlign val="subscript"/>
      </rPr>
      <t>q</t>
    </r>
  </si>
  <si>
    <r>
      <rPr>
        <rFont val="Arial"/>
        <color theme="1"/>
        <sz val="10.0"/>
      </rPr>
      <t>lbf/in.</t>
    </r>
    <r>
      <rPr>
        <rFont val="Arial"/>
        <color theme="1"/>
        <sz val="10.0"/>
        <vertAlign val="superscript"/>
      </rPr>
      <t>2</t>
    </r>
  </si>
  <si>
    <r>
      <rPr>
        <rFont val="Arial"/>
        <color theme="1"/>
        <sz val="10.0"/>
      </rPr>
      <t xml:space="preserve">Soil friction angle for soil located between </t>
    </r>
    <r>
      <rPr>
        <rFont val="Arial"/>
        <i/>
        <color theme="1"/>
        <sz val="10.0"/>
      </rPr>
      <t>d</t>
    </r>
    <r>
      <rPr>
        <rFont val="Arial"/>
        <i/>
        <color theme="1"/>
        <sz val="10.0"/>
        <vertAlign val="subscript"/>
      </rPr>
      <t>F</t>
    </r>
    <r>
      <rPr>
        <rFont val="Arial"/>
        <color theme="1"/>
        <sz val="10.0"/>
      </rPr>
      <t xml:space="preserve"> and (</t>
    </r>
    <r>
      <rPr>
        <rFont val="Arial"/>
        <i/>
        <color theme="1"/>
        <sz val="10.0"/>
      </rPr>
      <t>d</t>
    </r>
    <r>
      <rPr>
        <rFont val="Arial"/>
        <i/>
        <color theme="1"/>
        <sz val="10.0"/>
        <vertAlign val="subscript"/>
      </rPr>
      <t>F</t>
    </r>
    <r>
      <rPr>
        <rFont val="Arial"/>
        <color theme="1"/>
        <sz val="10.0"/>
      </rPr>
      <t>+</t>
    </r>
    <r>
      <rPr>
        <rFont val="Arial"/>
        <i/>
        <color theme="1"/>
        <sz val="10.0"/>
      </rPr>
      <t>B</t>
    </r>
    <r>
      <rPr>
        <rFont val="Arial"/>
        <color theme="1"/>
        <sz val="10.0"/>
      </rPr>
      <t>)</t>
    </r>
  </si>
  <si>
    <r>
      <rPr>
        <rFont val="Arial"/>
        <i/>
        <color theme="1"/>
        <sz val="10.0"/>
      </rPr>
      <t>N</t>
    </r>
    <r>
      <rPr>
        <rFont val="Arial"/>
        <i/>
        <color theme="1"/>
        <sz val="10.0"/>
        <vertAlign val="subscript"/>
      </rPr>
      <t>q</t>
    </r>
  </si>
  <si>
    <r>
      <rPr>
        <rFont val="Arial"/>
        <color theme="1"/>
        <sz val="10.0"/>
      </rPr>
      <t>exp (</t>
    </r>
    <r>
      <rPr>
        <rFont val="Symbol"/>
        <color theme="1"/>
        <sz val="10.0"/>
      </rPr>
      <t xml:space="preserve">p </t>
    </r>
    <r>
      <rPr>
        <rFont val="Arial"/>
        <color theme="1"/>
        <sz val="10.0"/>
      </rPr>
      <t>tan</t>
    </r>
    <r>
      <rPr>
        <rFont val="Symbol"/>
        <i/>
        <color theme="1"/>
        <sz val="10.0"/>
      </rPr>
      <t>f</t>
    </r>
    <r>
      <rPr>
        <rFont val="Arial"/>
        <color theme="1"/>
        <sz val="10.0"/>
      </rPr>
      <t>) tan</t>
    </r>
    <r>
      <rPr>
        <rFont val="Arial"/>
        <color theme="1"/>
        <sz val="10.0"/>
        <vertAlign val="superscript"/>
      </rPr>
      <t>2</t>
    </r>
    <r>
      <rPr>
        <rFont val="Arial"/>
        <color theme="1"/>
        <sz val="10.0"/>
      </rPr>
      <t>(45+</t>
    </r>
    <r>
      <rPr>
        <rFont val="Symbol"/>
        <i/>
        <color theme="1"/>
        <sz val="10.0"/>
      </rPr>
      <t>f</t>
    </r>
    <r>
      <rPr>
        <rFont val="Arial"/>
        <color theme="1"/>
        <sz val="10.0"/>
      </rPr>
      <t>/2)</t>
    </r>
  </si>
  <si>
    <r>
      <rPr>
        <rFont val="Arial"/>
        <i/>
        <color theme="1"/>
        <sz val="10.0"/>
      </rPr>
      <t>N</t>
    </r>
    <r>
      <rPr>
        <rFont val="Arial"/>
        <i/>
        <color theme="1"/>
        <sz val="10.0"/>
        <vertAlign val="subscript"/>
      </rPr>
      <t>γ</t>
    </r>
  </si>
  <si>
    <r>
      <rPr>
        <rFont val="Arial"/>
        <b/>
        <color theme="1"/>
        <sz val="10.0"/>
      </rPr>
      <t>B</t>
    </r>
    <r>
      <rPr>
        <rFont val="Arial"/>
        <b val="0"/>
        <color theme="1"/>
        <sz val="10.0"/>
      </rPr>
      <t>earing capacity factor that accounts for soil unit weight in the general bearing capacity equation</t>
    </r>
  </si>
  <si>
    <r>
      <rPr>
        <rFont val="Arial"/>
        <color theme="1"/>
        <sz val="10.0"/>
      </rPr>
      <t>2 (</t>
    </r>
    <r>
      <rPr>
        <rFont val="Arial"/>
        <i/>
        <color theme="1"/>
        <sz val="10.0"/>
      </rPr>
      <t>N</t>
    </r>
    <r>
      <rPr>
        <rFont val="Arial"/>
        <i/>
        <color theme="1"/>
        <sz val="10.0"/>
        <vertAlign val="subscript"/>
      </rPr>
      <t>q</t>
    </r>
    <r>
      <rPr>
        <rFont val="Arial"/>
        <color theme="1"/>
        <sz val="10.0"/>
      </rPr>
      <t xml:space="preserve"> +1) tan</t>
    </r>
    <r>
      <rPr>
        <rFont val="Arial"/>
        <i/>
        <color theme="1"/>
        <sz val="10.0"/>
      </rPr>
      <t xml:space="preserve"> </t>
    </r>
    <r>
      <rPr>
        <rFont val="Symbol"/>
        <i/>
        <color theme="1"/>
        <sz val="10.0"/>
      </rPr>
      <t>f</t>
    </r>
  </si>
  <si>
    <r>
      <rPr>
        <rFont val="Arial"/>
        <i/>
        <color theme="1"/>
        <sz val="10.0"/>
      </rPr>
      <t>s</t>
    </r>
    <r>
      <rPr>
        <rFont val="Arial"/>
        <i/>
        <color theme="1"/>
        <sz val="10.0"/>
        <vertAlign val="subscript"/>
      </rPr>
      <t>γ</t>
    </r>
  </si>
  <si>
    <r>
      <rPr>
        <rFont val="Arial"/>
        <i/>
        <color theme="1"/>
        <sz val="10.0"/>
      </rPr>
      <t>s</t>
    </r>
    <r>
      <rPr>
        <rFont val="Arial"/>
        <i/>
        <color theme="1"/>
        <sz val="10.0"/>
        <vertAlign val="subscript"/>
      </rPr>
      <t>q</t>
    </r>
  </si>
  <si>
    <r>
      <rPr>
        <rFont val="Arial"/>
        <color theme="1"/>
        <sz val="10.0"/>
      </rPr>
      <t>1 + tan</t>
    </r>
    <r>
      <rPr>
        <rFont val="Symbol"/>
        <i/>
        <color theme="1"/>
        <sz val="10.0"/>
      </rPr>
      <t xml:space="preserve"> f </t>
    </r>
    <r>
      <rPr>
        <rFont val="Arial"/>
        <color theme="1"/>
        <sz val="10.0"/>
      </rPr>
      <t>for square and round footings</t>
    </r>
  </si>
  <si>
    <r>
      <rPr>
        <rFont val="Arial"/>
        <i/>
        <color theme="1"/>
        <sz val="10.0"/>
      </rPr>
      <t>d</t>
    </r>
    <r>
      <rPr>
        <rFont val="Arial"/>
        <i/>
        <color theme="1"/>
        <sz val="10.0"/>
        <vertAlign val="subscript"/>
      </rPr>
      <t>q</t>
    </r>
  </si>
  <si>
    <r>
      <rPr>
        <rFont val="Arial"/>
        <color theme="1"/>
        <sz val="10.0"/>
      </rPr>
      <t>1 + 2 tan</t>
    </r>
    <r>
      <rPr>
        <rFont val="Symbol"/>
        <i/>
        <color theme="1"/>
        <sz val="10.0"/>
      </rPr>
      <t xml:space="preserve"> f </t>
    </r>
    <r>
      <rPr>
        <rFont val="Arial"/>
        <color theme="1"/>
        <sz val="10.0"/>
      </rPr>
      <t>(1-sin</t>
    </r>
    <r>
      <rPr>
        <rFont val="Symbol"/>
        <i/>
        <color theme="1"/>
        <sz val="10.0"/>
      </rPr>
      <t>f</t>
    </r>
    <r>
      <rPr>
        <rFont val="Arial"/>
        <color theme="1"/>
        <sz val="10.0"/>
      </rPr>
      <t>)</t>
    </r>
    <r>
      <rPr>
        <rFont val="Arial"/>
        <color theme="1"/>
        <sz val="10.0"/>
        <vertAlign val="superscript"/>
      </rPr>
      <t>2</t>
    </r>
    <r>
      <rPr>
        <rFont val="Arial"/>
        <color theme="1"/>
        <sz val="10.0"/>
      </rPr>
      <t xml:space="preserve"> tan</t>
    </r>
    <r>
      <rPr>
        <rFont val="Arial"/>
        <color theme="1"/>
        <sz val="10.0"/>
        <vertAlign val="superscript"/>
      </rPr>
      <t>-1</t>
    </r>
    <r>
      <rPr>
        <rFont val="Arial"/>
        <color theme="1"/>
        <sz val="10.0"/>
      </rPr>
      <t>(d</t>
    </r>
    <r>
      <rPr>
        <rFont val="Arial"/>
        <color theme="1"/>
        <sz val="10.0"/>
        <vertAlign val="subscript"/>
      </rPr>
      <t>F</t>
    </r>
    <r>
      <rPr>
        <rFont val="Arial"/>
        <color theme="1"/>
        <sz val="10.0"/>
      </rPr>
      <t>/B)</t>
    </r>
  </si>
  <si>
    <t>LATERAL STRENGTH ASSESSMENT</t>
  </si>
  <si>
    <t xml:space="preserve">Post/ Pier </t>
  </si>
  <si>
    <t>Embedment Depth (in)</t>
  </si>
  <si>
    <t>Width (in)</t>
  </si>
  <si>
    <t>Attached Footing</t>
  </si>
  <si>
    <t>Thickness (in)</t>
  </si>
  <si>
    <t>Enter "0" (zero) if no attached footing</t>
  </si>
  <si>
    <t>Foundation Depth (in)</t>
  </si>
  <si>
    <t>Attached Collar</t>
  </si>
  <si>
    <t>Depth to top (in)</t>
  </si>
  <si>
    <t>Enter "0" (zero) if no attached collar</t>
  </si>
  <si>
    <t>Depth to bottom (in)</t>
  </si>
  <si>
    <t>Concrete or CLSM Backfill</t>
  </si>
  <si>
    <t>Enter "0" (zero) if no concrete backfill</t>
  </si>
  <si>
    <t>Depth to Bottom (in)</t>
  </si>
  <si>
    <t>Groundline Bending Moment (LRFD)</t>
  </si>
  <si>
    <t>Groundline Shear (LRFD)</t>
  </si>
  <si>
    <t xml:space="preserve">  Lateral  Strength Assessment - Universal Method</t>
  </si>
  <si>
    <t xml:space="preserve">ASAE EP486.3 Table 3 - LRFD Resistance Factors and ASD Safety Factors for Lateral Strength Assessment using the Universal Method of Analysis </t>
  </si>
  <si>
    <t xml:space="preserve">  Spring Properties</t>
  </si>
  <si>
    <r>
      <rPr>
        <rFont val="Arial"/>
        <b/>
        <i/>
        <color rgb="FFFFFFFF"/>
        <sz val="12.0"/>
      </rPr>
      <t>V</t>
    </r>
    <r>
      <rPr>
        <rFont val="Arial"/>
        <b/>
        <i/>
        <color rgb="FFFFFFFF"/>
        <sz val="12.0"/>
        <vertAlign val="subscript"/>
      </rPr>
      <t>U</t>
    </r>
    <r>
      <rPr>
        <rFont val="Arial"/>
        <b/>
        <i val="0"/>
        <color rgb="FFFFFFFF"/>
        <sz val="12.0"/>
      </rPr>
      <t xml:space="preserve"> Calculation</t>
    </r>
    <r>
      <rPr>
        <rFont val="Arial"/>
        <b/>
        <i/>
        <color rgb="FFFFFFFF"/>
        <sz val="12.0"/>
      </rPr>
      <t xml:space="preserve"> </t>
    </r>
    <r>
      <rPr>
        <rFont val="Arial"/>
        <b/>
        <i val="0"/>
        <color rgb="FFFFFFFF"/>
        <sz val="12.0"/>
      </rPr>
      <t xml:space="preserve">for Specified </t>
    </r>
    <r>
      <rPr>
        <rFont val="Arial"/>
        <b/>
        <i/>
        <color rgb="FFFFFFFF"/>
        <sz val="12.0"/>
      </rPr>
      <t>M</t>
    </r>
    <r>
      <rPr>
        <rFont val="Arial"/>
        <b/>
        <i/>
        <color rgb="FFFFFFFF"/>
        <sz val="12.0"/>
        <vertAlign val="subscript"/>
      </rPr>
      <t>U</t>
    </r>
    <r>
      <rPr>
        <rFont val="Arial"/>
        <b/>
        <i val="0"/>
        <color rgb="FFFFFFFF"/>
        <sz val="12.0"/>
      </rPr>
      <t>:</t>
    </r>
    <r>
      <rPr>
        <rFont val="Arial"/>
        <b/>
        <i/>
        <color rgb="FFFFFFFF"/>
        <sz val="12.0"/>
      </rPr>
      <t>V</t>
    </r>
    <r>
      <rPr>
        <rFont val="Arial"/>
        <b/>
        <i/>
        <color rgb="FFFFFFFF"/>
        <sz val="12.0"/>
        <vertAlign val="subscript"/>
      </rPr>
      <t>U</t>
    </r>
    <r>
      <rPr>
        <rFont val="Arial"/>
        <b/>
        <i val="0"/>
        <color rgb="FFFFFFFF"/>
        <sz val="12.0"/>
      </rPr>
      <t xml:space="preserve"> Ratio</t>
    </r>
  </si>
  <si>
    <r>
      <rPr>
        <rFont val="Arial"/>
        <b/>
        <i/>
        <color rgb="FFFFFFFF"/>
        <sz val="12.0"/>
      </rPr>
      <t>V</t>
    </r>
    <r>
      <rPr>
        <rFont val="Arial"/>
        <b/>
        <i/>
        <color rgb="FFFFFFFF"/>
        <sz val="12.0"/>
        <vertAlign val="subscript"/>
      </rPr>
      <t>U</t>
    </r>
    <r>
      <rPr>
        <rFont val="Arial"/>
        <b/>
        <i/>
        <color rgb="FFFFFFFF"/>
        <sz val="12.0"/>
      </rPr>
      <t>-M</t>
    </r>
    <r>
      <rPr>
        <rFont val="Arial"/>
        <b/>
        <i/>
        <color rgb="FFFFFFFF"/>
        <sz val="12.0"/>
        <vertAlign val="subscript"/>
      </rPr>
      <t>U</t>
    </r>
    <r>
      <rPr>
        <rFont val="Arial"/>
        <b/>
        <i val="0"/>
        <color rgb="FFFFFFFF"/>
        <sz val="12.0"/>
      </rPr>
      <t xml:space="preserve"> Failure Envelope Data</t>
    </r>
  </si>
  <si>
    <t xml:space="preserve"> You must fill in all yellow colored cells in the tables below</t>
  </si>
  <si>
    <t>Spring No.</t>
  </si>
  <si>
    <r>
      <rPr>
        <rFont val="Arial"/>
        <b/>
        <color theme="1"/>
        <sz val="10.0"/>
      </rPr>
      <t xml:space="preserve">Depth, </t>
    </r>
    <r>
      <rPr>
        <rFont val="Arial"/>
        <b/>
        <i/>
        <color theme="1"/>
        <sz val="10.0"/>
      </rPr>
      <t>z</t>
    </r>
  </si>
  <si>
    <r>
      <rPr>
        <rFont val="Arial"/>
        <b/>
        <color theme="1"/>
        <sz val="10.0"/>
      </rPr>
      <t xml:space="preserve">Thickness, </t>
    </r>
    <r>
      <rPr>
        <rFont val="Arial"/>
        <b/>
        <i/>
        <color theme="1"/>
        <sz val="10.0"/>
      </rPr>
      <t>t</t>
    </r>
  </si>
  <si>
    <t>Post/pier width</t>
  </si>
  <si>
    <r>
      <rPr>
        <rFont val="Arial"/>
        <b/>
        <color theme="1"/>
        <sz val="10.0"/>
      </rPr>
      <t xml:space="preserve">Footing width, </t>
    </r>
    <r>
      <rPr>
        <rFont val="Arial"/>
        <b/>
        <i/>
        <color theme="1"/>
        <sz val="10.0"/>
      </rPr>
      <t>B</t>
    </r>
  </si>
  <si>
    <t>Collar width</t>
  </si>
  <si>
    <t>Concrete or CLSM backfill width</t>
  </si>
  <si>
    <r>
      <rPr>
        <rFont val="Arial"/>
        <b/>
        <color theme="1"/>
        <sz val="10.0"/>
      </rPr>
      <t>Foundation width,</t>
    </r>
    <r>
      <rPr>
        <rFont val="Arial"/>
        <b/>
        <i/>
        <color theme="1"/>
        <sz val="10.0"/>
      </rPr>
      <t xml:space="preserve"> b</t>
    </r>
  </si>
  <si>
    <r>
      <rPr>
        <rFont val="Arial"/>
        <b/>
        <color theme="1"/>
        <sz val="10.0"/>
      </rPr>
      <t xml:space="preserve">Ultimate lateral resistance, </t>
    </r>
    <r>
      <rPr>
        <rFont val="Arial"/>
        <b/>
        <i/>
        <color theme="1"/>
        <sz val="10.0"/>
      </rPr>
      <t>p</t>
    </r>
    <r>
      <rPr>
        <rFont val="Arial"/>
        <b/>
        <i/>
        <color theme="1"/>
        <sz val="10.0"/>
        <vertAlign val="subscript"/>
      </rPr>
      <t>U,z</t>
    </r>
  </si>
  <si>
    <r>
      <rPr>
        <rFont val="Arial"/>
        <b/>
        <color theme="1"/>
        <sz val="10.0"/>
      </rPr>
      <t xml:space="preserve">Ultimate spring force, </t>
    </r>
    <r>
      <rPr>
        <rFont val="Arial"/>
        <b/>
        <i/>
        <color theme="1"/>
        <sz val="10.0"/>
      </rPr>
      <t>F</t>
    </r>
    <r>
      <rPr>
        <rFont val="Arial"/>
        <b/>
        <i/>
        <color theme="1"/>
        <sz val="10.0"/>
        <vertAlign val="subscript"/>
      </rPr>
      <t>ult</t>
    </r>
  </si>
  <si>
    <r>
      <rPr>
        <rFont val="Arial"/>
        <b/>
        <i/>
        <color theme="1"/>
        <sz val="10.0"/>
      </rPr>
      <t>F</t>
    </r>
    <r>
      <rPr>
        <rFont val="Arial"/>
        <b/>
        <i/>
        <color theme="1"/>
        <sz val="10.0"/>
        <vertAlign val="subscript"/>
      </rPr>
      <t>ult</t>
    </r>
    <r>
      <rPr>
        <rFont val="Arial"/>
        <b/>
        <i val="0"/>
        <color theme="1"/>
        <sz val="10.0"/>
      </rPr>
      <t xml:space="preserve"> </t>
    </r>
    <r>
      <rPr>
        <rFont val="Arial"/>
        <b/>
        <i val="0"/>
        <color theme="1"/>
        <sz val="10.0"/>
        <vertAlign val="subscript"/>
      </rPr>
      <t xml:space="preserve">* </t>
    </r>
    <r>
      <rPr>
        <rFont val="Arial"/>
        <b/>
        <i/>
        <color theme="1"/>
        <sz val="10.0"/>
      </rPr>
      <t>z</t>
    </r>
  </si>
  <si>
    <r>
      <rPr>
        <rFont val="Arial"/>
        <b/>
        <color theme="1"/>
        <sz val="10.0"/>
      </rPr>
      <t xml:space="preserve">Moment induced by spring force about a point </t>
    </r>
    <r>
      <rPr>
        <rFont val="Arial"/>
        <b/>
        <i/>
        <color theme="1"/>
        <sz val="10.0"/>
      </rPr>
      <t>M</t>
    </r>
    <r>
      <rPr>
        <rFont val="Arial"/>
        <b/>
        <i/>
        <color theme="1"/>
        <sz val="10.0"/>
        <vertAlign val="subscript"/>
      </rPr>
      <t>U</t>
    </r>
    <r>
      <rPr>
        <rFont val="Arial"/>
        <b/>
        <i/>
        <color theme="1"/>
        <sz val="10.0"/>
      </rPr>
      <t>/V</t>
    </r>
    <r>
      <rPr>
        <rFont val="Arial"/>
        <b/>
        <i/>
        <color theme="1"/>
        <sz val="10.0"/>
        <vertAlign val="subscript"/>
      </rPr>
      <t>U</t>
    </r>
    <r>
      <rPr>
        <rFont val="Arial"/>
        <b/>
        <color theme="1"/>
        <sz val="10.0"/>
      </rPr>
      <t xml:space="preserve"> above ground surface,</t>
    </r>
    <r>
      <rPr>
        <rFont val="Arial"/>
        <b/>
        <i/>
        <color theme="1"/>
        <sz val="10.0"/>
      </rPr>
      <t xml:space="preserve"> F</t>
    </r>
    <r>
      <rPr>
        <rFont val="Arial"/>
        <b/>
        <i/>
        <color theme="1"/>
        <sz val="10.0"/>
        <vertAlign val="subscript"/>
      </rPr>
      <t>ult</t>
    </r>
    <r>
      <rPr>
        <rFont val="Arial"/>
        <b/>
        <color theme="1"/>
        <sz val="10.0"/>
      </rPr>
      <t xml:space="preserve"> </t>
    </r>
    <r>
      <rPr>
        <rFont val="Arial"/>
        <b/>
        <color theme="1"/>
        <sz val="10.0"/>
        <vertAlign val="subscript"/>
      </rPr>
      <t xml:space="preserve">* </t>
    </r>
    <r>
      <rPr>
        <rFont val="Arial"/>
        <b/>
        <color theme="1"/>
        <sz val="10.0"/>
      </rPr>
      <t>(</t>
    </r>
    <r>
      <rPr>
        <rFont val="Arial"/>
        <b/>
        <i/>
        <color theme="1"/>
        <sz val="10.0"/>
      </rPr>
      <t>z+M</t>
    </r>
    <r>
      <rPr>
        <rFont val="Arial"/>
        <b/>
        <i/>
        <color theme="1"/>
        <sz val="10.0"/>
        <vertAlign val="subscript"/>
      </rPr>
      <t>U</t>
    </r>
    <r>
      <rPr>
        <rFont val="Arial"/>
        <b/>
        <i/>
        <color theme="1"/>
        <sz val="10.0"/>
      </rPr>
      <t>/V</t>
    </r>
    <r>
      <rPr>
        <rFont val="Arial"/>
        <b/>
        <i/>
        <color theme="1"/>
        <sz val="10.0"/>
        <vertAlign val="subscript"/>
      </rPr>
      <t>U</t>
    </r>
    <r>
      <rPr>
        <rFont val="Arial"/>
        <b/>
        <i/>
        <color theme="1"/>
        <sz val="10.0"/>
      </rPr>
      <t>)</t>
    </r>
  </si>
  <si>
    <r>
      <rPr>
        <rFont val="Arial"/>
        <b/>
        <color theme="1"/>
        <sz val="10.0"/>
      </rPr>
      <t xml:space="preserve">Force needed in spring for </t>
    </r>
    <r>
      <rPr>
        <rFont val="Arial"/>
        <b/>
        <i/>
        <color theme="1"/>
        <sz val="10.0"/>
      </rPr>
      <t>M</t>
    </r>
    <r>
      <rPr>
        <rFont val="Arial"/>
        <b/>
        <i/>
        <color theme="1"/>
        <sz val="10.0"/>
        <vertAlign val="subscript"/>
      </rPr>
      <t>U</t>
    </r>
    <r>
      <rPr>
        <rFont val="Arial"/>
        <b/>
        <color theme="1"/>
        <sz val="10.0"/>
      </rPr>
      <t>:</t>
    </r>
    <r>
      <rPr>
        <rFont val="Arial"/>
        <b/>
        <i/>
        <color theme="1"/>
        <sz val="10.0"/>
      </rPr>
      <t>V</t>
    </r>
    <r>
      <rPr>
        <rFont val="Arial"/>
        <b/>
        <i/>
        <color theme="1"/>
        <sz val="10.0"/>
        <vertAlign val="subscript"/>
      </rPr>
      <t>U</t>
    </r>
    <r>
      <rPr>
        <rFont val="Arial"/>
        <b/>
        <color theme="1"/>
        <sz val="10.0"/>
      </rPr>
      <t xml:space="preserve"> ratio (in inches) of </t>
    </r>
  </si>
  <si>
    <r>
      <rPr>
        <rFont val="Arial"/>
        <b/>
        <i/>
        <color theme="1"/>
        <sz val="10.0"/>
      </rPr>
      <t>V</t>
    </r>
    <r>
      <rPr>
        <rFont val="Arial"/>
        <b/>
        <i/>
        <color theme="1"/>
        <sz val="10.0"/>
        <vertAlign val="subscript"/>
      </rPr>
      <t>U</t>
    </r>
    <r>
      <rPr>
        <rFont val="Arial"/>
        <b/>
        <i val="0"/>
        <color theme="1"/>
        <sz val="10.0"/>
      </rPr>
      <t xml:space="preserve"> for </t>
    </r>
    <r>
      <rPr>
        <rFont val="Arial"/>
        <b/>
        <i/>
        <color theme="1"/>
        <sz val="10.0"/>
      </rPr>
      <t>M</t>
    </r>
    <r>
      <rPr>
        <rFont val="Arial"/>
        <b/>
        <i/>
        <color theme="1"/>
        <sz val="10.0"/>
        <vertAlign val="subscript"/>
      </rPr>
      <t>U</t>
    </r>
    <r>
      <rPr>
        <rFont val="Arial"/>
        <b/>
        <i val="0"/>
        <color theme="1"/>
        <sz val="10.0"/>
      </rPr>
      <t>:</t>
    </r>
    <r>
      <rPr>
        <rFont val="Arial"/>
        <b/>
        <i/>
        <color theme="1"/>
        <sz val="10.0"/>
      </rPr>
      <t>V</t>
    </r>
    <r>
      <rPr>
        <rFont val="Arial"/>
        <b/>
        <i/>
        <color theme="1"/>
        <sz val="10.0"/>
        <vertAlign val="subscript"/>
      </rPr>
      <t>U</t>
    </r>
    <r>
      <rPr>
        <rFont val="Arial"/>
        <b/>
        <i val="0"/>
        <color theme="1"/>
        <sz val="10.0"/>
      </rPr>
      <t xml:space="preserve"> ratio (in inches) of </t>
    </r>
  </si>
  <si>
    <r>
      <rPr>
        <rFont val="Arial"/>
        <b/>
        <color theme="1"/>
        <sz val="10.0"/>
      </rPr>
      <t xml:space="preserve">Ultimate pivot point depth, </t>
    </r>
    <r>
      <rPr>
        <rFont val="Arial"/>
        <b/>
        <i/>
        <color theme="1"/>
        <sz val="10.0"/>
      </rPr>
      <t>d</t>
    </r>
    <r>
      <rPr>
        <rFont val="Arial"/>
        <b/>
        <i/>
        <color theme="1"/>
        <sz val="10.0"/>
        <vertAlign val="subscript"/>
      </rPr>
      <t>RU</t>
    </r>
  </si>
  <si>
    <r>
      <rPr>
        <rFont val="Arial"/>
        <b/>
        <i/>
        <color theme="1"/>
        <sz val="10.0"/>
      </rPr>
      <t>d</t>
    </r>
    <r>
      <rPr>
        <rFont val="Arial"/>
        <b/>
        <i/>
        <color theme="1"/>
        <sz val="10.0"/>
        <vertAlign val="subscript"/>
      </rPr>
      <t>RU</t>
    </r>
    <r>
      <rPr>
        <rFont val="Arial"/>
        <b/>
        <i val="0"/>
        <color theme="1"/>
        <sz val="10.0"/>
      </rPr>
      <t>/</t>
    </r>
    <r>
      <rPr>
        <rFont val="Arial"/>
        <b/>
        <i/>
        <color theme="1"/>
        <sz val="10.0"/>
      </rPr>
      <t>d</t>
    </r>
  </si>
  <si>
    <t>Clockwise Foundation Rotation</t>
  </si>
  <si>
    <t>Counter-Clockwise Foundation Rotation</t>
  </si>
  <si>
    <r>
      <rPr>
        <rFont val="Arial"/>
        <b/>
        <i/>
        <color theme="1"/>
        <sz val="10.0"/>
      </rPr>
      <t>M</t>
    </r>
    <r>
      <rPr>
        <rFont val="Arial"/>
        <b/>
        <i/>
        <color theme="1"/>
        <sz val="10.0"/>
        <vertAlign val="subscript"/>
      </rPr>
      <t>U</t>
    </r>
    <r>
      <rPr>
        <rFont val="Arial"/>
        <b/>
        <i val="0"/>
        <color theme="1"/>
        <sz val="10.0"/>
      </rPr>
      <t>/</t>
    </r>
    <r>
      <rPr>
        <rFont val="Arial"/>
        <b/>
        <i/>
        <color theme="1"/>
        <sz val="10.0"/>
      </rPr>
      <t>V</t>
    </r>
    <r>
      <rPr>
        <rFont val="Arial"/>
        <b/>
        <i/>
        <color theme="1"/>
        <sz val="10.0"/>
        <vertAlign val="subscript"/>
      </rPr>
      <t>U</t>
    </r>
  </si>
  <si>
    <t>Foundation Dimensions</t>
  </si>
  <si>
    <r>
      <rPr>
        <rFont val="Arial"/>
        <b/>
        <color rgb="FF000000"/>
        <sz val="10.0"/>
      </rPr>
      <t>Method used to determine ultimate lateral soil resistance, p</t>
    </r>
    <r>
      <rPr>
        <rFont val="Arial"/>
        <b/>
        <color rgb="FF000000"/>
        <sz val="10.0"/>
        <vertAlign val="subscript"/>
      </rPr>
      <t xml:space="preserve">U,z </t>
    </r>
    <r>
      <rPr>
        <rFont val="Arial"/>
        <b/>
        <color rgb="FF000000"/>
        <sz val="10.0"/>
        <vertAlign val="superscript"/>
      </rPr>
      <t>(a)</t>
    </r>
  </si>
  <si>
    <r>
      <rPr>
        <rFont val="Arial"/>
        <b/>
        <color theme="1"/>
        <sz val="10.0"/>
      </rPr>
      <t xml:space="preserve">For </t>
    </r>
    <r>
      <rPr>
        <rFont val="Symbol"/>
        <b/>
        <i/>
        <color theme="1"/>
        <sz val="10.0"/>
      </rPr>
      <t>f</t>
    </r>
    <r>
      <rPr>
        <rFont val="Arial"/>
        <b/>
        <color theme="1"/>
        <sz val="10.0"/>
      </rPr>
      <t xml:space="preserve"> =</t>
    </r>
  </si>
  <si>
    <r>
      <rPr>
        <rFont val="Arial"/>
        <b/>
        <color theme="1"/>
        <sz val="10.0"/>
      </rPr>
      <t xml:space="preserve">Ultimate groundline shear capacity, </t>
    </r>
    <r>
      <rPr>
        <rFont val="Arial"/>
        <b/>
        <i/>
        <color theme="1"/>
        <sz val="10.0"/>
      </rPr>
      <t>V</t>
    </r>
    <r>
      <rPr>
        <rFont val="Arial"/>
        <b/>
        <i/>
        <color theme="1"/>
        <sz val="10.0"/>
        <vertAlign val="subscript"/>
      </rPr>
      <t>U</t>
    </r>
  </si>
  <si>
    <r>
      <rPr>
        <rFont val="Arial"/>
        <b/>
        <color theme="1"/>
        <sz val="10.0"/>
      </rPr>
      <t>Ultimate groundline bending moment capacity,</t>
    </r>
    <r>
      <rPr>
        <rFont val="Arial"/>
        <b/>
        <i/>
        <color theme="1"/>
        <sz val="10.0"/>
      </rPr>
      <t xml:space="preserve"> M</t>
    </r>
    <r>
      <rPr>
        <rFont val="Arial"/>
        <b/>
        <i/>
        <color theme="1"/>
        <sz val="10.0"/>
        <vertAlign val="subscript"/>
      </rPr>
      <t>U</t>
    </r>
  </si>
  <si>
    <r>
      <rPr>
        <rFont val="Arial"/>
        <b/>
        <color theme="1"/>
        <sz val="10.0"/>
      </rPr>
      <t xml:space="preserve">Ultimate groundline shear capacity, </t>
    </r>
    <r>
      <rPr>
        <rFont val="Arial"/>
        <b/>
        <i/>
        <color theme="1"/>
        <sz val="10.0"/>
      </rPr>
      <t>V</t>
    </r>
    <r>
      <rPr>
        <rFont val="Arial"/>
        <b/>
        <i/>
        <color theme="1"/>
        <sz val="10.0"/>
        <vertAlign val="subscript"/>
      </rPr>
      <t>U</t>
    </r>
  </si>
  <si>
    <r>
      <rPr>
        <rFont val="Arial"/>
        <b/>
        <color theme="1"/>
        <sz val="10.0"/>
      </rPr>
      <t>Ultimate groundline bending moment capacity,</t>
    </r>
    <r>
      <rPr>
        <rFont val="Arial"/>
        <b/>
        <i/>
        <color theme="1"/>
        <sz val="10.0"/>
      </rPr>
      <t xml:space="preserve"> M</t>
    </r>
    <r>
      <rPr>
        <rFont val="Arial"/>
        <b/>
        <i/>
        <color theme="1"/>
        <sz val="10.0"/>
        <vertAlign val="subscript"/>
      </rPr>
      <t>U</t>
    </r>
  </si>
  <si>
    <t>Foundation Component</t>
  </si>
  <si>
    <t>Dimension</t>
  </si>
  <si>
    <r>
      <rPr>
        <rFont val="Arial"/>
        <b/>
        <color rgb="FF000000"/>
        <sz val="10.0"/>
      </rPr>
      <t>LRFD resistance factor for lateral strength assessment,</t>
    </r>
    <r>
      <rPr>
        <rFont val="Arial"/>
        <b/>
        <i/>
        <color rgb="FF000000"/>
        <sz val="10.0"/>
      </rPr>
      <t xml:space="preserve"> R</t>
    </r>
    <r>
      <rPr>
        <rFont val="Arial"/>
        <b/>
        <i/>
        <color rgb="FF000000"/>
        <sz val="10.0"/>
        <vertAlign val="subscript"/>
      </rPr>
      <t>L</t>
    </r>
    <r>
      <rPr>
        <rFont val="Arial"/>
        <b/>
        <color rgb="FF000000"/>
        <sz val="10.0"/>
        <vertAlign val="superscript"/>
      </rPr>
      <t xml:space="preserve"> (b)</t>
    </r>
  </si>
  <si>
    <r>
      <rPr>
        <rFont val="Arial"/>
        <b/>
        <color rgb="FF000000"/>
        <sz val="10.0"/>
      </rPr>
      <t xml:space="preserve">ASD safety factor for lateral strength assessment, </t>
    </r>
    <r>
      <rPr>
        <rFont val="Arial"/>
        <b/>
        <i/>
        <color rgb="FF000000"/>
        <sz val="10.0"/>
      </rPr>
      <t>f</t>
    </r>
    <r>
      <rPr>
        <rFont val="Arial"/>
        <b/>
        <i/>
        <color rgb="FF000000"/>
        <sz val="10.0"/>
        <vertAlign val="subscript"/>
      </rPr>
      <t>L</t>
    </r>
    <r>
      <rPr>
        <rFont val="Arial"/>
        <b/>
        <i/>
        <color rgb="FF000000"/>
        <sz val="10.0"/>
      </rPr>
      <t xml:space="preserve"> </t>
    </r>
    <r>
      <rPr>
        <rFont val="Arial"/>
        <b/>
        <color rgb="FF000000"/>
        <sz val="10.0"/>
        <vertAlign val="superscript"/>
      </rPr>
      <t>(b)</t>
    </r>
  </si>
  <si>
    <t>Post/Pier (less footing)</t>
  </si>
  <si>
    <t>Embedment depth</t>
  </si>
  <si>
    <r>
      <rPr>
        <rFont val="Arial"/>
        <color theme="1"/>
        <sz val="10.0"/>
      </rPr>
      <t>lbf/in</t>
    </r>
    <r>
      <rPr>
        <rFont val="Arial"/>
        <color theme="1"/>
        <sz val="10.0"/>
        <vertAlign val="superscript"/>
      </rPr>
      <t>2</t>
    </r>
  </si>
  <si>
    <t>lbf-in</t>
  </si>
  <si>
    <r>
      <rPr>
        <rFont val="Arial"/>
        <color theme="1"/>
        <sz val="10.0"/>
      </rPr>
      <t>Width</t>
    </r>
    <r>
      <rPr>
        <rFont val="Arial"/>
        <color theme="1"/>
        <sz val="10.0"/>
        <vertAlign val="superscript"/>
      </rPr>
      <t xml:space="preserve"> (a)</t>
    </r>
  </si>
  <si>
    <r>
      <rPr>
        <rFont val="Arial"/>
        <b/>
        <color theme="1"/>
        <sz val="10.0"/>
      </rPr>
      <t>Low Risk</t>
    </r>
    <r>
      <rPr>
        <rFont val="Arial"/>
        <b/>
        <color theme="1"/>
        <sz val="10.0"/>
        <vertAlign val="superscript"/>
      </rPr>
      <t xml:space="preserve"> (c)</t>
    </r>
  </si>
  <si>
    <r>
      <rPr>
        <rFont val="Arial"/>
        <b/>
        <color theme="1"/>
        <sz val="10.0"/>
      </rPr>
      <t xml:space="preserve">Low Risk </t>
    </r>
    <r>
      <rPr>
        <rFont val="Arial"/>
        <b/>
        <color theme="1"/>
        <sz val="10.0"/>
        <vertAlign val="superscript"/>
      </rPr>
      <t>(c)</t>
    </r>
  </si>
  <si>
    <t>Thickness (depth)</t>
  </si>
  <si>
    <r>
      <rPr>
        <rFont val="Arial"/>
        <color theme="1"/>
        <sz val="10.0"/>
      </rPr>
      <t xml:space="preserve">Width </t>
    </r>
    <r>
      <rPr>
        <rFont val="Arial"/>
        <color theme="1"/>
        <sz val="10.0"/>
        <vertAlign val="superscript"/>
      </rPr>
      <t>(a)</t>
    </r>
  </si>
  <si>
    <r>
      <rPr>
        <rFont val="Arial"/>
        <color rgb="FF000000"/>
        <sz val="10.0"/>
      </rPr>
      <t xml:space="preserve">Equation from clause 11.2.1 with soil friction angle </t>
    </r>
    <r>
      <rPr>
        <rFont val="Symbol"/>
        <i/>
        <color rgb="FF000000"/>
        <sz val="10.0"/>
      </rPr>
      <t>f</t>
    </r>
    <r>
      <rPr>
        <rFont val="Arial"/>
        <i/>
        <color rgb="FF000000"/>
        <sz val="10.0"/>
      </rPr>
      <t xml:space="preserve"> </t>
    </r>
    <r>
      <rPr>
        <rFont val="Arial"/>
        <color rgb="FF000000"/>
        <sz val="10.0"/>
      </rPr>
      <t>determined from laboratory direct shear or axial compression tests (see clause 5.8.1)</t>
    </r>
  </si>
  <si>
    <r>
      <rPr>
        <rFont val="Arial"/>
        <color rgb="FF000000"/>
        <sz val="10.0"/>
      </rPr>
      <t xml:space="preserve">0.86 - 0.01 </t>
    </r>
    <r>
      <rPr>
        <rFont val="Symbol"/>
        <i/>
        <color rgb="FF000000"/>
        <sz val="10.0"/>
      </rPr>
      <t xml:space="preserve">f </t>
    </r>
    <r>
      <rPr>
        <rFont val="Arial"/>
        <color rgb="FF000000"/>
        <sz val="10.0"/>
      </rPr>
      <t>=</t>
    </r>
  </si>
  <si>
    <r>
      <rPr>
        <rFont val="Arial"/>
        <color rgb="FF000000"/>
        <sz val="10.0"/>
      </rPr>
      <t xml:space="preserve">1.4/(0.86 - 0.01 </t>
    </r>
    <r>
      <rPr>
        <rFont val="Symbol"/>
        <i/>
        <color rgb="FF000000"/>
        <sz val="10.0"/>
      </rPr>
      <t>f</t>
    </r>
    <r>
      <rPr>
        <rFont val="Arial"/>
        <color rgb="FF000000"/>
        <sz val="10.0"/>
      </rPr>
      <t>) =</t>
    </r>
  </si>
  <si>
    <r>
      <rPr>
        <rFont val="Arial"/>
        <color theme="1"/>
        <sz val="10.0"/>
      </rPr>
      <t xml:space="preserve">Foundation depth, </t>
    </r>
    <r>
      <rPr>
        <rFont val="Arial"/>
        <i/>
        <color theme="1"/>
        <sz val="10.0"/>
      </rPr>
      <t>d</t>
    </r>
    <r>
      <rPr>
        <rFont val="Arial"/>
        <i/>
        <color theme="1"/>
        <sz val="10.0"/>
        <vertAlign val="subscript"/>
      </rPr>
      <t>F</t>
    </r>
  </si>
  <si>
    <r>
      <rPr>
        <rFont val="Arial"/>
        <color theme="1"/>
        <sz val="10.0"/>
      </rPr>
      <t xml:space="preserve">For lateral load checks, </t>
    </r>
    <r>
      <rPr>
        <rFont val="Arial"/>
        <i/>
        <color theme="1"/>
        <sz val="10.0"/>
      </rPr>
      <t>d</t>
    </r>
    <r>
      <rPr>
        <rFont val="Arial"/>
        <i/>
        <color theme="1"/>
        <sz val="10.0"/>
        <vertAlign val="subscript"/>
      </rPr>
      <t>f</t>
    </r>
    <r>
      <rPr>
        <rFont val="Arial"/>
        <color theme="1"/>
        <sz val="10.0"/>
        <vertAlign val="subscript"/>
      </rPr>
      <t xml:space="preserve"> </t>
    </r>
    <r>
      <rPr>
        <rFont val="Arial"/>
        <color theme="1"/>
        <sz val="10.0"/>
      </rPr>
      <t>is equal to post/pier embedment depth plus thickness of attached footing</t>
    </r>
  </si>
  <si>
    <r>
      <rPr>
        <rFont val="Arial"/>
        <color rgb="FF000000"/>
        <sz val="10.0"/>
      </rPr>
      <t xml:space="preserve">Equation from clause 11.2.1 with soil friction angle </t>
    </r>
    <r>
      <rPr>
        <rFont val="Symbol"/>
        <i/>
        <color rgb="FF000000"/>
        <sz val="10.0"/>
      </rPr>
      <t>f</t>
    </r>
    <r>
      <rPr>
        <rFont val="Arial"/>
        <i/>
        <color rgb="FF000000"/>
        <sz val="10.0"/>
      </rPr>
      <t xml:space="preserve"> </t>
    </r>
    <r>
      <rPr>
        <rFont val="Arial"/>
        <color rgb="FF000000"/>
        <sz val="10.0"/>
      </rPr>
      <t>determined from SPT data in accordance with clause 5.8.2</t>
    </r>
  </si>
  <si>
    <r>
      <rPr>
        <rFont val="Arial"/>
        <color rgb="FF000000"/>
        <sz val="10.0"/>
      </rPr>
      <t xml:space="preserve">0.66 - 0.01 </t>
    </r>
    <r>
      <rPr>
        <rFont val="Symbol"/>
        <i/>
        <color rgb="FF000000"/>
        <sz val="10.0"/>
      </rPr>
      <t xml:space="preserve">f </t>
    </r>
    <r>
      <rPr>
        <rFont val="Arial"/>
        <i/>
        <color rgb="FF000000"/>
        <sz val="10.0"/>
      </rPr>
      <t>=</t>
    </r>
  </si>
  <si>
    <r>
      <rPr>
        <rFont val="Arial"/>
        <color rgb="FF000000"/>
        <sz val="10.0"/>
      </rPr>
      <t>1.4/(0.66 - 0.01</t>
    </r>
    <r>
      <rPr>
        <rFont val="Symbol"/>
        <color rgb="FF000000"/>
        <sz val="10.0"/>
      </rPr>
      <t xml:space="preserve"> </t>
    </r>
    <r>
      <rPr>
        <rFont val="Symbol"/>
        <i/>
        <color rgb="FF000000"/>
        <sz val="10.0"/>
      </rPr>
      <t>f</t>
    </r>
    <r>
      <rPr>
        <rFont val="Arial"/>
        <color rgb="FF000000"/>
        <sz val="10.0"/>
      </rPr>
      <t>) =</t>
    </r>
  </si>
  <si>
    <r>
      <rPr>
        <rFont val="Arial"/>
        <color rgb="FF000000"/>
        <sz val="10.0"/>
      </rPr>
      <t xml:space="preserve">Equation from clause 11.2.1 with soil friction angle </t>
    </r>
    <r>
      <rPr>
        <rFont val="Symbol"/>
        <i/>
        <color rgb="FF000000"/>
        <sz val="10.0"/>
      </rPr>
      <t>f</t>
    </r>
    <r>
      <rPr>
        <rFont val="Arial"/>
        <i/>
        <color rgb="FF000000"/>
        <sz val="10.0"/>
      </rPr>
      <t xml:space="preserve"> </t>
    </r>
    <r>
      <rPr>
        <rFont val="Arial"/>
        <color rgb="FF000000"/>
        <sz val="10.0"/>
      </rPr>
      <t>determined from CPT data in accordance with clause 5.8.3</t>
    </r>
  </si>
  <si>
    <r>
      <rPr>
        <rFont val="Arial"/>
        <color rgb="FF000000"/>
        <sz val="10.0"/>
      </rPr>
      <t xml:space="preserve">0.76 - 0.01 </t>
    </r>
    <r>
      <rPr>
        <rFont val="Symbol"/>
        <i/>
        <color rgb="FF000000"/>
        <sz val="10.0"/>
      </rPr>
      <t xml:space="preserve">f </t>
    </r>
    <r>
      <rPr>
        <rFont val="Arial"/>
        <i/>
        <color rgb="FF000000"/>
        <sz val="10.0"/>
      </rPr>
      <t>=</t>
    </r>
  </si>
  <si>
    <r>
      <rPr>
        <rFont val="Arial"/>
        <color rgb="FF000000"/>
        <sz val="10.0"/>
      </rPr>
      <t>1.4/(0.76 - 0.01</t>
    </r>
    <r>
      <rPr>
        <rFont val="Symbol"/>
        <color rgb="FF000000"/>
        <sz val="10.0"/>
      </rPr>
      <t xml:space="preserve"> </t>
    </r>
    <r>
      <rPr>
        <rFont val="Symbol"/>
        <i/>
        <color rgb="FF000000"/>
        <sz val="10.0"/>
      </rPr>
      <t>f</t>
    </r>
    <r>
      <rPr>
        <rFont val="Arial"/>
        <color rgb="FF000000"/>
        <sz val="10.0"/>
      </rPr>
      <t>) =</t>
    </r>
  </si>
  <si>
    <t>Depth to top</t>
  </si>
  <si>
    <r>
      <rPr>
        <rFont val="Arial"/>
        <color rgb="FF000000"/>
        <sz val="10.0"/>
      </rPr>
      <t xml:space="preserve">Equation from clause 11.2.1 with soil friction angle </t>
    </r>
    <r>
      <rPr>
        <rFont val="Symbol"/>
        <i/>
        <color rgb="FF000000"/>
        <sz val="10.0"/>
      </rPr>
      <t>f</t>
    </r>
    <r>
      <rPr>
        <rFont val="Arial"/>
        <i/>
        <color rgb="FF000000"/>
        <sz val="10.0"/>
      </rPr>
      <t xml:space="preserve"> </t>
    </r>
    <r>
      <rPr>
        <rFont val="Arial"/>
        <color rgb="FF000000"/>
        <sz val="10.0"/>
      </rPr>
      <t>from ASAE EP486.3 Table 1</t>
    </r>
  </si>
  <si>
    <r>
      <rPr>
        <rFont val="Arial"/>
        <color rgb="FF000000"/>
        <sz val="10.0"/>
      </rPr>
      <t xml:space="preserve">0.61 - 0.01 </t>
    </r>
    <r>
      <rPr>
        <rFont val="Symbol"/>
        <i/>
        <color rgb="FF000000"/>
        <sz val="10.0"/>
      </rPr>
      <t>f</t>
    </r>
    <r>
      <rPr>
        <rFont val="Arial"/>
        <i/>
        <color rgb="FF000000"/>
        <sz val="10.0"/>
      </rPr>
      <t xml:space="preserve"> =</t>
    </r>
  </si>
  <si>
    <r>
      <rPr>
        <rFont val="Arial"/>
        <color rgb="FF000000"/>
        <sz val="10.0"/>
      </rPr>
      <t xml:space="preserve">1.4/(0.61 - 0.01 </t>
    </r>
    <r>
      <rPr>
        <rFont val="Symbol"/>
        <i/>
        <color rgb="FF000000"/>
        <sz val="10.0"/>
      </rPr>
      <t>f</t>
    </r>
    <r>
      <rPr>
        <rFont val="Arial"/>
        <color rgb="FF000000"/>
        <sz val="10.0"/>
      </rPr>
      <t>) =</t>
    </r>
  </si>
  <si>
    <t>Depth to bottom</t>
  </si>
  <si>
    <r>
      <rPr>
        <rFont val="Arial"/>
        <color rgb="FF000000"/>
        <sz val="10.0"/>
      </rPr>
      <t xml:space="preserve">Equation from clause 11.2.1 with soil friction angle </t>
    </r>
    <r>
      <rPr>
        <rFont val="Symbol"/>
        <i/>
        <color rgb="FF000000"/>
        <sz val="10.0"/>
      </rPr>
      <t>f</t>
    </r>
    <r>
      <rPr>
        <rFont val="Arial"/>
        <i/>
        <color rgb="FF000000"/>
        <sz val="10.0"/>
      </rPr>
      <t xml:space="preserve"> </t>
    </r>
    <r>
      <rPr>
        <rFont val="Arial"/>
        <color rgb="FF000000"/>
        <sz val="10.0"/>
      </rPr>
      <t>from ASAE EP486.3 Table 1, with soil type verified by construction testing</t>
    </r>
  </si>
  <si>
    <r>
      <rPr>
        <rFont val="Arial"/>
        <color rgb="FF000000"/>
        <sz val="10.0"/>
      </rPr>
      <t xml:space="preserve">0.82 - 0.01 </t>
    </r>
    <r>
      <rPr>
        <rFont val="Symbol"/>
        <i/>
        <color rgb="FF000000"/>
        <sz val="10.0"/>
      </rPr>
      <t>f</t>
    </r>
    <r>
      <rPr>
        <rFont val="Arial"/>
        <i/>
        <color rgb="FF000000"/>
        <sz val="10.0"/>
      </rPr>
      <t xml:space="preserve"> =</t>
    </r>
  </si>
  <si>
    <r>
      <rPr>
        <rFont val="Arial"/>
        <color rgb="FF000000"/>
        <sz val="10.0"/>
      </rPr>
      <t xml:space="preserve">1.4/(0.82 - 0.01 </t>
    </r>
    <r>
      <rPr>
        <rFont val="Symbol"/>
        <i/>
        <color rgb="FF000000"/>
        <sz val="10.0"/>
      </rPr>
      <t>f</t>
    </r>
    <r>
      <rPr>
        <rFont val="Arial"/>
        <color rgb="FF000000"/>
        <sz val="10.0"/>
      </rPr>
      <t>) =</t>
    </r>
  </si>
  <si>
    <r>
      <rPr>
        <rFont val="Arial"/>
        <color theme="1"/>
        <sz val="10.0"/>
      </rPr>
      <t xml:space="preserve">Width </t>
    </r>
    <r>
      <rPr>
        <rFont val="Arial"/>
        <color theme="1"/>
        <sz val="10.0"/>
        <vertAlign val="superscript"/>
      </rPr>
      <t>(a)</t>
    </r>
  </si>
  <si>
    <t>Pressuremeter test (PMT) in accordance with clause 11.2.2</t>
  </si>
  <si>
    <t>Enter "0" (zero) if no concrete/CLSM backfill</t>
  </si>
  <si>
    <r>
      <rPr>
        <rFont val="Arial"/>
        <color rgb="FF000000"/>
        <sz val="10.0"/>
      </rPr>
      <t xml:space="preserve">Equation from clause 11.2.1 with undrained shear strength </t>
    </r>
    <r>
      <rPr>
        <rFont val="Arial"/>
        <i/>
        <color rgb="FF000000"/>
        <sz val="10.0"/>
      </rPr>
      <t>S</t>
    </r>
    <r>
      <rPr>
        <rFont val="Arial"/>
        <i/>
        <color rgb="FF000000"/>
        <sz val="10.0"/>
        <vertAlign val="subscript"/>
      </rPr>
      <t>U</t>
    </r>
    <r>
      <rPr>
        <rFont val="Arial"/>
        <color rgb="FF000000"/>
        <sz val="10.0"/>
      </rPr>
      <t xml:space="preserve"> determined from laboratory compression tests (see clause 5.7.1)</t>
    </r>
  </si>
  <si>
    <r>
      <rPr>
        <rFont val="Arial"/>
        <color rgb="FF000000"/>
        <sz val="10.0"/>
      </rPr>
      <t xml:space="preserve">Equation from clause 11.2.1 with undrained shear strength </t>
    </r>
    <r>
      <rPr>
        <rFont val="Arial"/>
        <i/>
        <color rgb="FF000000"/>
        <sz val="10.0"/>
      </rPr>
      <t>S</t>
    </r>
    <r>
      <rPr>
        <rFont val="Arial"/>
        <i/>
        <color rgb="FF000000"/>
        <sz val="10.0"/>
        <vertAlign val="subscript"/>
      </rPr>
      <t>U</t>
    </r>
    <r>
      <rPr>
        <rFont val="Arial"/>
        <color rgb="FF000000"/>
        <sz val="10.0"/>
      </rPr>
      <t xml:space="preserve"> determined from PBPMT data in accordance with clause 5.7.2</t>
    </r>
  </si>
  <si>
    <r>
      <rPr>
        <rFont val="Arial"/>
        <color theme="1"/>
        <sz val="10.0"/>
      </rPr>
      <t xml:space="preserve">Width </t>
    </r>
    <r>
      <rPr>
        <rFont val="Arial"/>
        <color theme="1"/>
        <sz val="10.0"/>
        <vertAlign val="superscript"/>
      </rPr>
      <t>(a)</t>
    </r>
  </si>
  <si>
    <r>
      <rPr>
        <rFont val="Arial"/>
        <color rgb="FF000000"/>
        <sz val="10.0"/>
      </rPr>
      <t xml:space="preserve">Equation from clause 11.2.1 with undrained shear strength </t>
    </r>
    <r>
      <rPr>
        <rFont val="Arial"/>
        <i/>
        <color rgb="FF000000"/>
        <sz val="10.0"/>
      </rPr>
      <t>S</t>
    </r>
    <r>
      <rPr>
        <rFont val="Arial"/>
        <i/>
        <color rgb="FF000000"/>
        <sz val="10.0"/>
        <vertAlign val="subscript"/>
      </rPr>
      <t>U</t>
    </r>
    <r>
      <rPr>
        <rFont val="Arial"/>
        <color rgb="FF000000"/>
        <sz val="10.0"/>
      </rPr>
      <t xml:space="preserve"> determined from CPT data in accordance with clause 5.7.3</t>
    </r>
  </si>
  <si>
    <r>
      <rPr>
        <rFont val="Arial"/>
        <color theme="1"/>
        <sz val="10.0"/>
      </rPr>
      <t>(a)</t>
    </r>
    <r>
      <rPr>
        <rFont val="Arial"/>
        <color theme="1"/>
        <sz val="10.0"/>
      </rPr>
      <t xml:space="preserve"> Horizontal dimension of the face of the component that is pushing on the soil.  Equal to diameter for round components. </t>
    </r>
  </si>
  <si>
    <r>
      <rPr>
        <rFont val="Arial"/>
        <color rgb="FF000000"/>
        <sz val="10.0"/>
      </rPr>
      <t xml:space="preserve">Equation from clause 11.2.1 with undrained shear strength </t>
    </r>
    <r>
      <rPr>
        <rFont val="Arial"/>
        <i/>
        <color rgb="FF000000"/>
        <sz val="10.0"/>
      </rPr>
      <t>S</t>
    </r>
    <r>
      <rPr>
        <rFont val="Arial"/>
        <i/>
        <color rgb="FF000000"/>
        <sz val="10.0"/>
        <vertAlign val="subscript"/>
      </rPr>
      <t>U</t>
    </r>
    <r>
      <rPr>
        <rFont val="Arial"/>
        <color rgb="FF000000"/>
        <sz val="10.0"/>
      </rPr>
      <t xml:space="preserve"> determined from in-situ vane tests in accordance with clause 5.7.4</t>
    </r>
  </si>
  <si>
    <r>
      <rPr>
        <rFont val="Arial"/>
        <color rgb="FF000000"/>
        <sz val="10.0"/>
      </rPr>
      <t xml:space="preserve">Equation from clause 11.2.1 with undrained shear strength </t>
    </r>
    <r>
      <rPr>
        <rFont val="Arial"/>
        <i/>
        <color rgb="FF000000"/>
        <sz val="10.0"/>
      </rPr>
      <t>S</t>
    </r>
    <r>
      <rPr>
        <rFont val="Arial"/>
        <i/>
        <color rgb="FF000000"/>
        <sz val="10.0"/>
        <vertAlign val="subscript"/>
      </rPr>
      <t>U</t>
    </r>
    <r>
      <rPr>
        <rFont val="Arial"/>
        <color rgb="FF000000"/>
        <sz val="10.0"/>
      </rPr>
      <t xml:space="preserve"> from ASAE EP486.3 Table 1</t>
    </r>
  </si>
  <si>
    <t>Groundline Forces Applied to Foundation and Associated Safety Factors</t>
  </si>
  <si>
    <r>
      <rPr>
        <rFont val="Arial"/>
        <color rgb="FF000000"/>
        <sz val="10.0"/>
      </rPr>
      <t xml:space="preserve">Equation from clause 11.2.1 with undrained shear strength </t>
    </r>
    <r>
      <rPr>
        <rFont val="Arial"/>
        <i/>
        <color rgb="FF000000"/>
        <sz val="10.0"/>
      </rPr>
      <t>S</t>
    </r>
    <r>
      <rPr>
        <rFont val="Arial"/>
        <i/>
        <color rgb="FF000000"/>
        <sz val="10.0"/>
        <vertAlign val="subscript"/>
      </rPr>
      <t>U</t>
    </r>
    <r>
      <rPr>
        <rFont val="Arial"/>
        <color rgb="FF000000"/>
        <sz val="10.0"/>
      </rPr>
      <t xml:space="preserve"> from ASAE EP486.3 Table 1 with soil type verified by construction testing</t>
    </r>
  </si>
  <si>
    <t>Design Methodology</t>
  </si>
  <si>
    <t>Design Variable</t>
  </si>
  <si>
    <t>Allowable Stress Design (ASD)</t>
  </si>
  <si>
    <r>
      <rPr>
        <rFont val="Arial"/>
        <color theme="1"/>
        <sz val="10.0"/>
      </rPr>
      <t xml:space="preserve">Goundline Bending Moment, </t>
    </r>
    <r>
      <rPr>
        <rFont val="Arial"/>
        <i/>
        <color theme="1"/>
        <sz val="10.0"/>
      </rPr>
      <t>M</t>
    </r>
    <r>
      <rPr>
        <rFont val="Arial"/>
        <i/>
        <color theme="1"/>
        <sz val="10.0"/>
        <vertAlign val="subscript"/>
      </rPr>
      <t>ASD</t>
    </r>
  </si>
  <si>
    <t>in-lbf</t>
  </si>
  <si>
    <t xml:space="preserve">Enter "0" (zero) values if using LRFD.  </t>
  </si>
  <si>
    <r>
      <rPr>
        <rFont val="Arial"/>
        <color rgb="FF000000"/>
        <sz val="10.0"/>
      </rPr>
      <t>(a)</t>
    </r>
    <r>
      <rPr>
        <rFont val="Arial"/>
        <color rgb="FF000000"/>
        <sz val="10.0"/>
      </rPr>
      <t xml:space="preserve"> Clause numbers refer to section numbers in ASAE EP 486.3</t>
    </r>
  </si>
  <si>
    <r>
      <rPr>
        <rFont val="Arial"/>
        <color theme="1"/>
        <sz val="10.0"/>
      </rPr>
      <t xml:space="preserve">Groundline Shear, </t>
    </r>
    <r>
      <rPr>
        <rFont val="Arial"/>
        <i/>
        <color theme="1"/>
        <sz val="10.0"/>
      </rPr>
      <t>V</t>
    </r>
    <r>
      <rPr>
        <rFont val="Arial"/>
        <i/>
        <color theme="1"/>
        <sz val="10.0"/>
        <vertAlign val="subscript"/>
      </rPr>
      <t>ASD</t>
    </r>
  </si>
  <si>
    <r>
      <rPr>
        <rFont val="Arial"/>
        <color rgb="FF000000"/>
        <sz val="10.0"/>
      </rPr>
      <t xml:space="preserve">(b) </t>
    </r>
    <r>
      <rPr>
        <rFont val="Arial"/>
        <color rgb="FF000000"/>
        <sz val="10.0"/>
      </rPr>
      <t>In all cases,</t>
    </r>
    <r>
      <rPr>
        <rFont val="Arial"/>
        <color rgb="FF000000"/>
        <sz val="10.0"/>
        <vertAlign val="superscript"/>
      </rPr>
      <t xml:space="preserve"> </t>
    </r>
    <r>
      <rPr>
        <rFont val="Arial"/>
        <i/>
        <color rgb="FF000000"/>
        <sz val="10.0"/>
      </rPr>
      <t>R</t>
    </r>
    <r>
      <rPr>
        <rFont val="Arial"/>
        <i/>
        <color rgb="FF000000"/>
        <sz val="10.0"/>
        <vertAlign val="subscript"/>
      </rPr>
      <t xml:space="preserve">L </t>
    </r>
    <r>
      <rPr>
        <rFont val="Arial"/>
        <color rgb="FF000000"/>
        <sz val="10.0"/>
      </rPr>
      <t xml:space="preserve">is limited to a maximum value of 0.93 and </t>
    </r>
    <r>
      <rPr>
        <rFont val="Arial"/>
        <i/>
        <color rgb="FF000000"/>
        <sz val="10.0"/>
      </rPr>
      <t>f</t>
    </r>
    <r>
      <rPr>
        <rFont val="Arial"/>
        <i/>
        <color rgb="FF000000"/>
        <sz val="10.0"/>
        <vertAlign val="subscript"/>
      </rPr>
      <t>L</t>
    </r>
    <r>
      <rPr>
        <rFont val="Arial"/>
        <color rgb="FF000000"/>
        <sz val="10.0"/>
      </rPr>
      <t xml:space="preserve"> is limited to a minimum value of 1.50.</t>
    </r>
  </si>
  <si>
    <r>
      <rPr>
        <rFont val="Arial"/>
        <color theme="1"/>
        <sz val="10.0"/>
      </rPr>
      <t xml:space="preserve">Factor of Safety, </t>
    </r>
    <r>
      <rPr>
        <rFont val="Arial"/>
        <i/>
        <color theme="1"/>
        <sz val="10.0"/>
      </rPr>
      <t>f</t>
    </r>
    <r>
      <rPr>
        <rFont val="Arial"/>
        <i/>
        <color theme="1"/>
        <sz val="10.0"/>
        <vertAlign val="subscript"/>
      </rPr>
      <t>L</t>
    </r>
  </si>
  <si>
    <t>Obtain from table to the right</t>
  </si>
  <si>
    <r>
      <rPr>
        <rFont val="Arial"/>
        <color theme="1"/>
        <sz val="10.0"/>
      </rPr>
      <t>(c)</t>
    </r>
    <r>
      <rPr>
        <rFont val="Arial"/>
        <color theme="1"/>
        <sz val="10.0"/>
      </rPr>
      <t xml:space="preserve"> For buildings and other structures that represent a low risk to humans in the event of a failure. </t>
    </r>
    <r>
      <rPr>
        <rFont val="Arial"/>
        <i/>
        <color theme="1"/>
        <sz val="10.0"/>
      </rPr>
      <t>R</t>
    </r>
    <r>
      <rPr>
        <rFont val="Arial"/>
        <i/>
        <color theme="1"/>
        <sz val="10.0"/>
        <vertAlign val="subscript"/>
      </rPr>
      <t>L</t>
    </r>
    <r>
      <rPr>
        <rFont val="Arial"/>
        <color theme="1"/>
        <sz val="10.0"/>
      </rPr>
      <t xml:space="preserve"> values increased by 25% and </t>
    </r>
    <r>
      <rPr>
        <rFont val="Arial"/>
        <i/>
        <color theme="1"/>
        <sz val="10.0"/>
      </rPr>
      <t>f</t>
    </r>
    <r>
      <rPr>
        <rFont val="Arial"/>
        <i/>
        <color theme="1"/>
        <sz val="10.0"/>
        <vertAlign val="subscript"/>
      </rPr>
      <t>L</t>
    </r>
    <r>
      <rPr>
        <rFont val="Arial"/>
        <color theme="1"/>
        <sz val="10.0"/>
      </rPr>
      <t xml:space="preserve"> values reduced by 20%</t>
    </r>
  </si>
  <si>
    <r>
      <rPr>
        <rFont val="Arial"/>
        <color theme="1"/>
        <sz val="10.0"/>
      </rPr>
      <t xml:space="preserve">Max allowed </t>
    </r>
    <r>
      <rPr>
        <rFont val="Arial"/>
        <i/>
        <color theme="1"/>
        <sz val="10.0"/>
      </rPr>
      <t>M</t>
    </r>
    <r>
      <rPr>
        <rFont val="Arial"/>
        <i/>
        <color theme="1"/>
        <sz val="10.0"/>
        <vertAlign val="subscript"/>
      </rPr>
      <t>ASD</t>
    </r>
    <r>
      <rPr>
        <rFont val="Arial"/>
        <i/>
        <color theme="1"/>
        <sz val="10.0"/>
      </rPr>
      <t xml:space="preserve"> </t>
    </r>
    <r>
      <rPr>
        <rFont val="Arial"/>
        <color theme="1"/>
        <sz val="10.0"/>
      </rPr>
      <t>for surface constrained post</t>
    </r>
  </si>
  <si>
    <r>
      <rPr>
        <rFont val="Arial"/>
        <color theme="1"/>
        <sz val="10.0"/>
      </rPr>
      <t xml:space="preserve">Absolute value of </t>
    </r>
    <r>
      <rPr>
        <rFont val="Arial"/>
        <i/>
        <color theme="1"/>
        <sz val="10.0"/>
      </rPr>
      <t>M</t>
    </r>
    <r>
      <rPr>
        <rFont val="Arial"/>
        <i/>
        <color theme="1"/>
        <sz val="10.0"/>
        <vertAlign val="subscript"/>
      </rPr>
      <t>ASD</t>
    </r>
    <r>
      <rPr>
        <rFont val="Arial"/>
        <color theme="1"/>
        <sz val="10.0"/>
      </rPr>
      <t xml:space="preserve"> can't exceed this value</t>
    </r>
  </si>
  <si>
    <t>Load and Resistance Factor Design (LRFD)</t>
  </si>
  <si>
    <r>
      <rPr>
        <rFont val="Arial"/>
        <color theme="1"/>
        <sz val="10.0"/>
      </rPr>
      <t xml:space="preserve">Goundline Bending Moment, </t>
    </r>
    <r>
      <rPr>
        <rFont val="Arial"/>
        <i/>
        <color theme="1"/>
        <sz val="10.0"/>
      </rPr>
      <t>M</t>
    </r>
    <r>
      <rPr>
        <rFont val="Arial"/>
        <i/>
        <color theme="1"/>
        <sz val="10.0"/>
        <vertAlign val="subscript"/>
      </rPr>
      <t>LRFD</t>
    </r>
  </si>
  <si>
    <t>Enter "0" (zero) values if using ASD</t>
  </si>
  <si>
    <r>
      <rPr>
        <rFont val="Arial"/>
        <color theme="1"/>
        <sz val="10.0"/>
      </rPr>
      <t xml:space="preserve">Groundline Shear, </t>
    </r>
    <r>
      <rPr>
        <rFont val="Arial"/>
        <i/>
        <color theme="1"/>
        <sz val="10.0"/>
      </rPr>
      <t>V</t>
    </r>
    <r>
      <rPr>
        <rFont val="Arial"/>
        <i/>
        <color theme="1"/>
        <sz val="10.0"/>
        <vertAlign val="subscript"/>
      </rPr>
      <t>LRFD</t>
    </r>
  </si>
  <si>
    <r>
      <rPr>
        <rFont val="Arial"/>
        <color theme="1"/>
        <sz val="10.0"/>
      </rPr>
      <t xml:space="preserve">Resistance Factor, </t>
    </r>
    <r>
      <rPr>
        <rFont val="Arial"/>
        <i/>
        <color theme="1"/>
        <sz val="10.0"/>
      </rPr>
      <t>R</t>
    </r>
    <r>
      <rPr>
        <rFont val="Arial"/>
        <i/>
        <color theme="1"/>
        <sz val="10.0"/>
        <vertAlign val="subscript"/>
      </rPr>
      <t>L</t>
    </r>
  </si>
  <si>
    <r>
      <rPr>
        <rFont val="Arial"/>
        <color theme="1"/>
        <sz val="10.0"/>
      </rPr>
      <t xml:space="preserve">Max allowed </t>
    </r>
    <r>
      <rPr>
        <rFont val="Arial"/>
        <i/>
        <color theme="1"/>
        <sz val="10.0"/>
      </rPr>
      <t>M</t>
    </r>
    <r>
      <rPr>
        <rFont val="Arial"/>
        <i/>
        <color theme="1"/>
        <sz val="10.0"/>
        <vertAlign val="subscript"/>
      </rPr>
      <t>LRFD</t>
    </r>
    <r>
      <rPr>
        <rFont val="Arial"/>
        <i/>
        <color theme="1"/>
        <sz val="10.0"/>
      </rPr>
      <t xml:space="preserve"> </t>
    </r>
    <r>
      <rPr>
        <rFont val="Arial"/>
        <color theme="1"/>
        <sz val="10.0"/>
      </rPr>
      <t>for surface constrained post</t>
    </r>
  </si>
  <si>
    <r>
      <rPr>
        <rFont val="Arial"/>
        <color theme="1"/>
        <sz val="10.0"/>
      </rPr>
      <t xml:space="preserve">Absolute value of </t>
    </r>
    <r>
      <rPr>
        <rFont val="Arial"/>
        <i/>
        <color theme="1"/>
        <sz val="10.0"/>
      </rPr>
      <t>M</t>
    </r>
    <r>
      <rPr>
        <rFont val="Arial"/>
        <i/>
        <color theme="1"/>
        <sz val="10.0"/>
        <vertAlign val="subscript"/>
      </rPr>
      <t>LRFD</t>
    </r>
    <r>
      <rPr>
        <rFont val="Arial"/>
        <color theme="1"/>
        <sz val="10.0"/>
      </rPr>
      <t xml:space="preserve"> can't exceed this value</t>
    </r>
  </si>
  <si>
    <t>Required and Allowed Ultimate Forces</t>
  </si>
  <si>
    <r>
      <rPr>
        <rFont val="Arial"/>
        <color theme="1"/>
        <sz val="10.0"/>
      </rPr>
      <t xml:space="preserve">Required </t>
    </r>
    <r>
      <rPr>
        <rFont val="Arial"/>
        <i/>
        <color theme="1"/>
        <sz val="10.0"/>
      </rPr>
      <t>M</t>
    </r>
    <r>
      <rPr>
        <rFont val="Arial"/>
        <i/>
        <color theme="1"/>
        <sz val="10.0"/>
        <vertAlign val="subscript"/>
      </rPr>
      <t>U</t>
    </r>
  </si>
  <si>
    <r>
      <rPr>
        <rFont val="Arial"/>
        <i/>
        <color theme="1"/>
        <sz val="10.0"/>
      </rPr>
      <t>f</t>
    </r>
    <r>
      <rPr>
        <rFont val="Arial"/>
        <i/>
        <color theme="1"/>
        <sz val="10.0"/>
        <vertAlign val="subscript"/>
      </rPr>
      <t>L</t>
    </r>
    <r>
      <rPr>
        <rFont val="Arial"/>
        <i/>
        <color theme="1"/>
        <sz val="6.0"/>
      </rPr>
      <t xml:space="preserve"> </t>
    </r>
    <r>
      <rPr>
        <rFont val="Arial"/>
        <i/>
        <color theme="1"/>
        <sz val="10.0"/>
      </rPr>
      <t>M</t>
    </r>
    <r>
      <rPr>
        <rFont val="Arial"/>
        <i/>
        <color theme="1"/>
        <sz val="10.0"/>
        <vertAlign val="subscript"/>
      </rPr>
      <t>ASD</t>
    </r>
    <r>
      <rPr>
        <rFont val="Arial"/>
        <i/>
        <color theme="1"/>
        <sz val="6.0"/>
      </rPr>
      <t xml:space="preserve"> </t>
    </r>
    <r>
      <rPr>
        <rFont val="Arial"/>
        <i val="0"/>
        <color theme="1"/>
        <sz val="10.0"/>
      </rPr>
      <t>or</t>
    </r>
    <r>
      <rPr>
        <rFont val="Arial"/>
        <i val="0"/>
        <color theme="1"/>
        <sz val="6.0"/>
      </rPr>
      <t xml:space="preserve"> </t>
    </r>
    <r>
      <rPr>
        <rFont val="Arial"/>
        <i/>
        <color theme="1"/>
        <sz val="10.0"/>
      </rPr>
      <t>M</t>
    </r>
    <r>
      <rPr>
        <rFont val="Arial"/>
        <i/>
        <color theme="1"/>
        <sz val="10.0"/>
        <vertAlign val="subscript"/>
      </rPr>
      <t>LRFD</t>
    </r>
    <r>
      <rPr>
        <rFont val="Arial"/>
        <i val="0"/>
        <color theme="1"/>
        <sz val="10.0"/>
      </rPr>
      <t>/</t>
    </r>
    <r>
      <rPr>
        <rFont val="Arial"/>
        <i/>
        <color theme="1"/>
        <sz val="10.0"/>
      </rPr>
      <t>R</t>
    </r>
    <r>
      <rPr>
        <rFont val="Arial"/>
        <i/>
        <color theme="1"/>
        <sz val="10.0"/>
        <vertAlign val="subscript"/>
      </rPr>
      <t>L</t>
    </r>
  </si>
  <si>
    <r>
      <rPr>
        <rFont val="Arial"/>
        <color theme="1"/>
        <sz val="10.0"/>
      </rPr>
      <t>Required</t>
    </r>
    <r>
      <rPr>
        <rFont val="Arial"/>
        <i/>
        <color theme="1"/>
        <sz val="10.0"/>
      </rPr>
      <t xml:space="preserve"> V</t>
    </r>
    <r>
      <rPr>
        <rFont val="Arial"/>
        <i/>
        <color theme="1"/>
        <sz val="10.0"/>
        <vertAlign val="subscript"/>
      </rPr>
      <t>U</t>
    </r>
  </si>
  <si>
    <r>
      <rPr>
        <rFont val="Arial"/>
        <i/>
        <color theme="1"/>
        <sz val="10.0"/>
      </rPr>
      <t>f</t>
    </r>
    <r>
      <rPr>
        <rFont val="Arial"/>
        <i/>
        <color theme="1"/>
        <sz val="10.0"/>
        <vertAlign val="subscript"/>
      </rPr>
      <t>L</t>
    </r>
    <r>
      <rPr>
        <rFont val="Arial"/>
        <i/>
        <color theme="1"/>
        <sz val="10.0"/>
      </rPr>
      <t xml:space="preserve"> V</t>
    </r>
    <r>
      <rPr>
        <rFont val="Arial"/>
        <i/>
        <color theme="1"/>
        <sz val="10.0"/>
        <vertAlign val="subscript"/>
      </rPr>
      <t>ASD</t>
    </r>
    <r>
      <rPr>
        <rFont val="Arial"/>
        <i/>
        <color theme="1"/>
        <sz val="6.0"/>
      </rPr>
      <t xml:space="preserve"> </t>
    </r>
    <r>
      <rPr>
        <rFont val="Arial"/>
        <i val="0"/>
        <color theme="1"/>
        <sz val="10.0"/>
      </rPr>
      <t>or</t>
    </r>
    <r>
      <rPr>
        <rFont val="Arial"/>
        <i val="0"/>
        <color theme="1"/>
        <sz val="6.0"/>
      </rPr>
      <t xml:space="preserve"> </t>
    </r>
    <r>
      <rPr>
        <rFont val="Arial"/>
        <i/>
        <color theme="1"/>
        <sz val="10.0"/>
      </rPr>
      <t>V</t>
    </r>
    <r>
      <rPr>
        <rFont val="Arial"/>
        <i/>
        <color theme="1"/>
        <sz val="10.0"/>
        <vertAlign val="subscript"/>
      </rPr>
      <t>LRFD</t>
    </r>
    <r>
      <rPr>
        <rFont val="Arial"/>
        <i val="0"/>
        <color theme="1"/>
        <sz val="10.0"/>
      </rPr>
      <t>/</t>
    </r>
    <r>
      <rPr>
        <rFont val="Arial"/>
        <i/>
        <color theme="1"/>
        <sz val="10.0"/>
      </rPr>
      <t>R</t>
    </r>
    <r>
      <rPr>
        <rFont val="Arial"/>
        <i/>
        <color theme="1"/>
        <sz val="10.0"/>
        <vertAlign val="subscript"/>
      </rPr>
      <t>L</t>
    </r>
  </si>
  <si>
    <r>
      <rPr>
        <rFont val="Arial"/>
        <color theme="1"/>
        <sz val="10.0"/>
      </rPr>
      <t xml:space="preserve">Required </t>
    </r>
    <r>
      <rPr>
        <rFont val="Arial"/>
        <i/>
        <color theme="1"/>
        <sz val="10.0"/>
      </rPr>
      <t>M</t>
    </r>
    <r>
      <rPr>
        <rFont val="Arial"/>
        <i/>
        <color theme="1"/>
        <sz val="10.0"/>
        <vertAlign val="subscript"/>
      </rPr>
      <t>U</t>
    </r>
    <r>
      <rPr>
        <rFont val="Arial"/>
        <color theme="1"/>
        <sz val="10.0"/>
      </rPr>
      <t>:</t>
    </r>
    <r>
      <rPr>
        <rFont val="Arial"/>
        <i/>
        <color theme="1"/>
        <sz val="10.0"/>
      </rPr>
      <t>V</t>
    </r>
    <r>
      <rPr>
        <rFont val="Arial"/>
        <i/>
        <color theme="1"/>
        <sz val="10.0"/>
        <vertAlign val="subscript"/>
      </rPr>
      <t>U</t>
    </r>
    <r>
      <rPr>
        <rFont val="Arial"/>
        <color theme="1"/>
        <sz val="10.0"/>
      </rPr>
      <t xml:space="preserve"> Ratio</t>
    </r>
  </si>
  <si>
    <r>
      <rPr>
        <rFont val="Arial"/>
        <color theme="1"/>
        <sz val="10.0"/>
      </rPr>
      <t xml:space="preserve">(Required </t>
    </r>
    <r>
      <rPr>
        <rFont val="Arial"/>
        <i/>
        <color theme="1"/>
        <sz val="10.0"/>
      </rPr>
      <t>M</t>
    </r>
    <r>
      <rPr>
        <rFont val="Arial"/>
        <i/>
        <color theme="1"/>
        <sz val="10.0"/>
        <vertAlign val="subscript"/>
      </rPr>
      <t>U</t>
    </r>
    <r>
      <rPr>
        <rFont val="Arial"/>
        <color theme="1"/>
        <sz val="10.0"/>
      </rPr>
      <t>)/(Required</t>
    </r>
    <r>
      <rPr>
        <rFont val="Arial"/>
        <i/>
        <color theme="1"/>
        <sz val="10.0"/>
      </rPr>
      <t xml:space="preserve"> V</t>
    </r>
    <r>
      <rPr>
        <rFont val="Arial"/>
        <i/>
        <color theme="1"/>
        <sz val="10.0"/>
        <vertAlign val="subscript"/>
      </rPr>
      <t>U</t>
    </r>
    <r>
      <rPr>
        <rFont val="Arial"/>
        <color theme="1"/>
        <sz val="10.0"/>
      </rPr>
      <t>)</t>
    </r>
  </si>
  <si>
    <t>Foundation Rotation Direction</t>
  </si>
  <si>
    <r>
      <rPr>
        <rFont val="Arial"/>
        <color theme="1"/>
        <sz val="10.0"/>
      </rPr>
      <t xml:space="preserve"> </t>
    </r>
    <r>
      <rPr>
        <rFont val="Arial"/>
        <i/>
        <color theme="1"/>
        <sz val="10.0"/>
      </rPr>
      <t>V</t>
    </r>
    <r>
      <rPr>
        <rFont val="Arial"/>
        <i/>
        <color theme="1"/>
        <sz val="10.0"/>
        <vertAlign val="subscript"/>
      </rPr>
      <t>U</t>
    </r>
  </si>
  <si>
    <r>
      <rPr>
        <rFont val="Arial"/>
        <color theme="1"/>
        <sz val="10.0"/>
      </rPr>
      <t xml:space="preserve"> </t>
    </r>
    <r>
      <rPr>
        <rFont val="Arial"/>
        <i/>
        <color theme="1"/>
        <sz val="10.0"/>
      </rPr>
      <t>M</t>
    </r>
    <r>
      <rPr>
        <rFont val="Arial"/>
        <i/>
        <color theme="1"/>
        <sz val="10.0"/>
        <vertAlign val="subscript"/>
      </rPr>
      <t>U</t>
    </r>
  </si>
  <si>
    <t>UPLIFT STRENGTH ASSESSMENT</t>
  </si>
  <si>
    <t>Diameter of round uplift resisting system (in)</t>
  </si>
  <si>
    <t>Distance from soil surface to top of foundation uplift resisting system (in)</t>
  </si>
  <si>
    <t>Sidewall Height</t>
  </si>
  <si>
    <t>Roof Pitch</t>
  </si>
  <si>
    <t>ASD Wind Speed</t>
  </si>
  <si>
    <t>mph</t>
  </si>
  <si>
    <t>Axial uplift force (lbm)</t>
  </si>
  <si>
    <t>Assuming LRFD Loading: -15PSF wind load (100sqft )</t>
  </si>
  <si>
    <t xml:space="preserve">Uplift Strength Assessment </t>
  </si>
  <si>
    <t>You must fill in all yellow colored cells in the table below</t>
  </si>
  <si>
    <r>
      <rPr>
        <rFont val="Arial"/>
        <i/>
        <color rgb="FF000000"/>
        <sz val="10.0"/>
      </rPr>
      <t>B</t>
    </r>
    <r>
      <rPr>
        <rFont val="Arial"/>
        <i/>
        <color rgb="FF000000"/>
        <sz val="10.0"/>
        <vertAlign val="subscript"/>
      </rPr>
      <t>U</t>
    </r>
  </si>
  <si>
    <t>Diameter of a round uplift resisting system or smaller of the two dimensions characterizing a rectangular uplift resisting system</t>
  </si>
  <si>
    <r>
      <rPr>
        <rFont val="Arial"/>
        <i/>
        <color rgb="FF000000"/>
        <sz val="10.0"/>
      </rPr>
      <t>L</t>
    </r>
    <r>
      <rPr>
        <rFont val="Arial"/>
        <i/>
        <color rgb="FF000000"/>
        <sz val="10.0"/>
        <vertAlign val="subscript"/>
      </rPr>
      <t>U</t>
    </r>
  </si>
  <si>
    <r>
      <rPr>
        <rFont val="Arial"/>
        <color rgb="FF000000"/>
        <sz val="10.0"/>
      </rPr>
      <t xml:space="preserve">Length of rectangular uplift resisting system with width </t>
    </r>
    <r>
      <rPr>
        <rFont val="Arial"/>
        <i/>
        <color rgb="FF000000"/>
        <sz val="10.0"/>
      </rPr>
      <t>B</t>
    </r>
    <r>
      <rPr>
        <rFont val="Arial"/>
        <i/>
        <color rgb="FF000000"/>
        <sz val="10.0"/>
        <vertAlign val="subscript"/>
      </rPr>
      <t>U</t>
    </r>
  </si>
  <si>
    <t>Enter "0" (zero) for round uplift resisting system</t>
  </si>
  <si>
    <r>
      <rPr>
        <rFont val="Arial"/>
        <i/>
        <color theme="1"/>
        <sz val="10.0"/>
      </rPr>
      <t>d</t>
    </r>
    <r>
      <rPr>
        <rFont val="Arial"/>
        <i/>
        <color theme="1"/>
        <sz val="10.0"/>
        <vertAlign val="subscript"/>
      </rPr>
      <t>U</t>
    </r>
  </si>
  <si>
    <t>Distance from soil surface to top of foundation uplift resisting system</t>
  </si>
  <si>
    <r>
      <rPr>
        <rFont val="Arial"/>
        <i/>
        <color theme="1"/>
        <sz val="10.0"/>
      </rPr>
      <t>A</t>
    </r>
    <r>
      <rPr>
        <rFont val="Arial"/>
        <i/>
        <color theme="1"/>
        <sz val="10.0"/>
        <vertAlign val="subscript"/>
      </rPr>
      <t>P</t>
    </r>
  </si>
  <si>
    <t>Cross-sectional area of foundation above uplift resisting system</t>
  </si>
  <si>
    <r>
      <rPr>
        <rFont val="Arial"/>
        <color theme="1"/>
        <sz val="10.0"/>
      </rPr>
      <t>in</t>
    </r>
    <r>
      <rPr>
        <rFont val="Arial"/>
        <color theme="1"/>
        <sz val="10.0"/>
        <vertAlign val="superscript"/>
      </rPr>
      <t>2</t>
    </r>
  </si>
  <si>
    <r>
      <rPr>
        <rFont val="Arial"/>
        <i/>
        <color theme="1"/>
        <sz val="10.0"/>
      </rPr>
      <t>M</t>
    </r>
    <r>
      <rPr>
        <rFont val="Arial"/>
        <i/>
        <color theme="1"/>
        <sz val="10.0"/>
        <vertAlign val="subscript"/>
      </rPr>
      <t>F</t>
    </r>
  </si>
  <si>
    <t xml:space="preserve">Mass of foundation components located below grade that provide anchorage </t>
  </si>
  <si>
    <t>lbm</t>
  </si>
  <si>
    <t>Estimate using table below</t>
  </si>
  <si>
    <t>Soil friction angle for soil located above the uplift resisting system</t>
  </si>
  <si>
    <t>Enter "0" (zero) for cohesive soils</t>
  </si>
  <si>
    <r>
      <rPr>
        <rFont val="Arial"/>
        <i/>
        <color theme="1"/>
        <sz val="10.0"/>
      </rPr>
      <t>S</t>
    </r>
    <r>
      <rPr>
        <rFont val="Arial"/>
        <i/>
        <color theme="1"/>
        <sz val="10.0"/>
        <vertAlign val="subscript"/>
      </rPr>
      <t>U</t>
    </r>
  </si>
  <si>
    <t>Undrained soil shear strength for soil located above the uplift resisting system</t>
  </si>
  <si>
    <r>
      <rPr>
        <rFont val="Arial"/>
        <color theme="1"/>
        <sz val="10.0"/>
      </rPr>
      <t>lbf/in.</t>
    </r>
    <r>
      <rPr>
        <rFont val="Arial"/>
        <color theme="1"/>
        <sz val="10.0"/>
        <vertAlign val="superscript"/>
      </rPr>
      <t>2</t>
    </r>
  </si>
  <si>
    <t>Enter "0" (zero) for cohesionless soils</t>
  </si>
  <si>
    <r>
      <rPr>
        <rFont val="Arial"/>
        <i/>
        <color theme="1"/>
        <sz val="10.0"/>
      </rPr>
      <t>P</t>
    </r>
    <r>
      <rPr>
        <rFont val="Arial"/>
        <i/>
        <color theme="1"/>
        <sz val="10.0"/>
        <vertAlign val="subscript"/>
      </rPr>
      <t>LRFD</t>
    </r>
  </si>
  <si>
    <t>Axial uplift force applied to foundation at grade by LRFD load combination</t>
  </si>
  <si>
    <r>
      <rPr>
        <rFont val="Arial"/>
        <i/>
        <color theme="1"/>
        <sz val="10.0"/>
      </rPr>
      <t>P</t>
    </r>
    <r>
      <rPr>
        <rFont val="Arial"/>
        <i/>
        <color theme="1"/>
        <sz val="10.0"/>
        <vertAlign val="subscript"/>
      </rPr>
      <t>ASD</t>
    </r>
  </si>
  <si>
    <t>Axial uplift force applied to foundation at grade by ASD load combination</t>
  </si>
  <si>
    <r>
      <rPr>
        <rFont val="Arial"/>
        <i/>
        <color theme="1"/>
        <sz val="10.0"/>
      </rPr>
      <t>R</t>
    </r>
    <r>
      <rPr>
        <rFont val="Arial"/>
        <i/>
        <color theme="1"/>
        <sz val="10.0"/>
        <vertAlign val="subscript"/>
      </rPr>
      <t>U</t>
    </r>
  </si>
  <si>
    <t>LRFD resistance factor for uplift strength assessment</t>
  </si>
  <si>
    <r>
      <rPr>
        <rFont val="Arial"/>
        <i/>
        <color theme="1"/>
        <sz val="10.0"/>
      </rPr>
      <t>f</t>
    </r>
    <r>
      <rPr>
        <rFont val="Arial"/>
        <i/>
        <color theme="1"/>
        <sz val="10.0"/>
        <vertAlign val="subscript"/>
      </rPr>
      <t>U</t>
    </r>
  </si>
  <si>
    <t>ASD factor of safety for uplift strength assessment</t>
  </si>
  <si>
    <r>
      <rPr>
        <rFont val="Arial"/>
        <i/>
        <color theme="1"/>
        <sz val="10.0"/>
      </rPr>
      <t>q</t>
    </r>
    <r>
      <rPr>
        <rFont val="Arial"/>
        <i/>
        <color theme="1"/>
        <sz val="10.0"/>
        <vertAlign val="subscript"/>
      </rPr>
      <t>0</t>
    </r>
  </si>
  <si>
    <r>
      <rPr>
        <rFont val="Arial"/>
        <color theme="1"/>
        <sz val="10.0"/>
      </rPr>
      <t xml:space="preserve">Total overburden pressure at footing depth </t>
    </r>
    <r>
      <rPr>
        <rFont val="Arial"/>
        <i/>
        <color theme="1"/>
        <sz val="10.0"/>
      </rPr>
      <t>d</t>
    </r>
    <r>
      <rPr>
        <rFont val="Arial"/>
        <i/>
        <color theme="1"/>
        <sz val="10.0"/>
        <vertAlign val="subscript"/>
      </rPr>
      <t>U</t>
    </r>
  </si>
  <si>
    <r>
      <rPr>
        <rFont val="Arial"/>
        <color theme="1"/>
        <sz val="10.0"/>
      </rPr>
      <t>lbf/in</t>
    </r>
    <r>
      <rPr>
        <rFont val="Arial"/>
        <color theme="1"/>
        <sz val="10.0"/>
        <vertAlign val="superscript"/>
      </rPr>
      <t>2</t>
    </r>
  </si>
  <si>
    <t>Average moist unit weight of soil above the uplift resisting system</t>
  </si>
  <si>
    <r>
      <rPr>
        <rFont val="Arial"/>
        <i/>
        <color theme="1"/>
        <sz val="10.0"/>
      </rPr>
      <t>q</t>
    </r>
    <r>
      <rPr>
        <rFont val="Arial"/>
        <i/>
        <color theme="1"/>
        <sz val="10.0"/>
        <vertAlign val="subscript"/>
      </rPr>
      <t>0</t>
    </r>
    <r>
      <rPr>
        <rFont val="Arial"/>
        <i val="0"/>
        <color theme="1"/>
        <sz val="10.0"/>
      </rPr>
      <t>/</t>
    </r>
    <r>
      <rPr>
        <rFont val="Arial"/>
        <i/>
        <color theme="1"/>
        <sz val="10.0"/>
      </rPr>
      <t>d</t>
    </r>
    <r>
      <rPr>
        <rFont val="Arial"/>
        <i/>
        <color theme="1"/>
        <sz val="10.0"/>
        <vertAlign val="subscript"/>
      </rPr>
      <t>U</t>
    </r>
  </si>
  <si>
    <r>
      <rPr>
        <rFont val="Arial"/>
        <color theme="1"/>
        <sz val="10.0"/>
      </rPr>
      <t>lbf/in.</t>
    </r>
    <r>
      <rPr>
        <rFont val="Arial"/>
        <color theme="1"/>
        <sz val="10.0"/>
        <vertAlign val="superscript"/>
      </rPr>
      <t>3</t>
    </r>
  </si>
  <si>
    <t>Vertical extent of the uplift soil failure for cohesionless soil (Clause 12.5.1)</t>
  </si>
  <si>
    <r>
      <rPr>
        <rFont val="Arial"/>
        <color theme="1"/>
        <sz val="10.0"/>
      </rPr>
      <t xml:space="preserve">2.5 </t>
    </r>
    <r>
      <rPr>
        <rFont val="Arial"/>
        <i/>
        <color theme="1"/>
        <sz val="10.0"/>
      </rPr>
      <t>B</t>
    </r>
    <r>
      <rPr>
        <rFont val="Arial"/>
        <i/>
        <color theme="1"/>
        <sz val="10.0"/>
        <vertAlign val="subscript"/>
      </rPr>
      <t>U</t>
    </r>
    <r>
      <rPr>
        <rFont val="Arial"/>
        <color theme="1"/>
        <sz val="10.0"/>
      </rPr>
      <t xml:space="preserve"> for </t>
    </r>
    <r>
      <rPr>
        <rFont val="Symbol"/>
        <i/>
        <color theme="1"/>
        <sz val="10.0"/>
      </rPr>
      <t xml:space="preserve">f </t>
    </r>
    <r>
      <rPr>
        <rFont val="Arial"/>
        <color theme="1"/>
        <sz val="10.0"/>
      </rPr>
      <t xml:space="preserve">&lt; 20; </t>
    </r>
    <r>
      <rPr>
        <rFont val="Arial"/>
        <i/>
        <color theme="1"/>
        <sz val="10.0"/>
      </rPr>
      <t>B</t>
    </r>
    <r>
      <rPr>
        <rFont val="Arial"/>
        <i/>
        <color theme="1"/>
        <sz val="10.0"/>
        <vertAlign val="subscript"/>
      </rPr>
      <t>U</t>
    </r>
    <r>
      <rPr>
        <rFont val="Arial"/>
        <color theme="1"/>
        <sz val="10.0"/>
      </rPr>
      <t>(5.78-0.350</t>
    </r>
    <r>
      <rPr>
        <rFont val="Symbol"/>
        <color theme="1"/>
        <sz val="10.0"/>
      </rPr>
      <t xml:space="preserve"> f</t>
    </r>
    <r>
      <rPr>
        <rFont val="Arial"/>
        <color theme="1"/>
        <sz val="10.0"/>
      </rPr>
      <t xml:space="preserve"> + 0.00947</t>
    </r>
    <r>
      <rPr>
        <rFont val="Symbol"/>
        <i/>
        <color theme="1"/>
        <sz val="10.0"/>
      </rPr>
      <t>f</t>
    </r>
    <r>
      <rPr>
        <rFont val="Arial"/>
        <color theme="1"/>
        <sz val="10.0"/>
        <vertAlign val="superscript"/>
      </rPr>
      <t>2</t>
    </r>
    <r>
      <rPr>
        <rFont val="Arial"/>
        <color theme="1"/>
        <sz val="10.0"/>
      </rPr>
      <t>) for</t>
    </r>
    <r>
      <rPr>
        <rFont val="Symbol"/>
        <i/>
        <color theme="1"/>
        <sz val="10.0"/>
      </rPr>
      <t xml:space="preserve"> f</t>
    </r>
    <r>
      <rPr>
        <rFont val="Arial"/>
        <color theme="1"/>
        <sz val="10.0"/>
      </rPr>
      <t>&gt;20</t>
    </r>
  </si>
  <si>
    <t>Graviational acceleration</t>
  </si>
  <si>
    <t>lbf/lbm</t>
  </si>
  <si>
    <r>
      <rPr>
        <rFont val="Arial"/>
        <i/>
        <color theme="1"/>
        <sz val="10.0"/>
      </rPr>
      <t>K</t>
    </r>
    <r>
      <rPr>
        <rFont val="Arial"/>
        <i/>
        <color theme="1"/>
        <sz val="10.0"/>
        <vertAlign val="subscript"/>
      </rPr>
      <t>U</t>
    </r>
  </si>
  <si>
    <t>Nominal uplift coefficient of earth pressure on a vertical plane for cohesionless soils</t>
  </si>
  <si>
    <r>
      <rPr>
        <rFont val="Arial"/>
        <i/>
        <color theme="1"/>
        <sz val="10.0"/>
      </rPr>
      <t>s</t>
    </r>
    <r>
      <rPr>
        <rFont val="Arial"/>
        <i/>
        <color theme="1"/>
        <sz val="10.0"/>
        <vertAlign val="subscript"/>
      </rPr>
      <t>F</t>
    </r>
    <r>
      <rPr>
        <rFont val="Arial"/>
        <i val="0"/>
        <color theme="1"/>
        <sz val="10.0"/>
      </rPr>
      <t xml:space="preserve"> </t>
    </r>
  </si>
  <si>
    <t>Shape factor for uplift resistance in cohesionless soils</t>
  </si>
  <si>
    <r>
      <rPr>
        <rFont val="Arial"/>
        <color theme="1"/>
        <sz val="10.0"/>
      </rPr>
      <t>1+1.105(10</t>
    </r>
    <r>
      <rPr>
        <rFont val="Arial"/>
        <color theme="1"/>
        <sz val="10.0"/>
        <vertAlign val="superscript"/>
      </rPr>
      <t>-5</t>
    </r>
    <r>
      <rPr>
        <rFont val="Arial"/>
        <color theme="1"/>
        <sz val="10.0"/>
      </rPr>
      <t>)</t>
    </r>
    <r>
      <rPr>
        <rFont val="Symbol"/>
        <i/>
        <color theme="1"/>
        <sz val="10.0"/>
      </rPr>
      <t>f</t>
    </r>
    <r>
      <rPr>
        <rFont val="Arial"/>
        <color theme="1"/>
        <sz val="10.0"/>
        <vertAlign val="superscript"/>
      </rPr>
      <t>2.815</t>
    </r>
    <r>
      <rPr>
        <rFont val="Arial"/>
        <i/>
        <color theme="1"/>
        <sz val="10.0"/>
      </rPr>
      <t>d</t>
    </r>
    <r>
      <rPr>
        <rFont val="Arial"/>
        <i/>
        <color theme="1"/>
        <sz val="10.0"/>
        <vertAlign val="subscript"/>
      </rPr>
      <t>U</t>
    </r>
    <r>
      <rPr>
        <rFont val="Arial"/>
        <color theme="1"/>
        <sz val="10.0"/>
      </rPr>
      <t>/</t>
    </r>
    <r>
      <rPr>
        <rFont val="Arial"/>
        <i/>
        <color theme="1"/>
        <sz val="10.0"/>
      </rPr>
      <t>B</t>
    </r>
    <r>
      <rPr>
        <rFont val="Arial"/>
        <i/>
        <color theme="1"/>
        <sz val="10.0"/>
        <vertAlign val="subscript"/>
      </rPr>
      <t>U</t>
    </r>
    <r>
      <rPr>
        <rFont val="Arial"/>
        <color theme="1"/>
        <sz val="10.0"/>
      </rPr>
      <t xml:space="preserve"> for shallow foundation;                    1+1.105(10</t>
    </r>
    <r>
      <rPr>
        <rFont val="Arial"/>
        <color theme="1"/>
        <sz val="10.0"/>
        <vertAlign val="superscript"/>
      </rPr>
      <t>-5</t>
    </r>
    <r>
      <rPr>
        <rFont val="Arial"/>
        <color theme="1"/>
        <sz val="10.0"/>
      </rPr>
      <t>)</t>
    </r>
    <r>
      <rPr>
        <rFont val="Symbol"/>
        <i/>
        <color theme="1"/>
        <sz val="10.0"/>
      </rPr>
      <t>f</t>
    </r>
    <r>
      <rPr>
        <rFont val="Arial"/>
        <color theme="1"/>
        <sz val="10.0"/>
        <vertAlign val="superscript"/>
      </rPr>
      <t>2.815</t>
    </r>
    <r>
      <rPr>
        <rFont val="Arial"/>
        <i/>
        <color theme="1"/>
        <sz val="10.0"/>
      </rPr>
      <t>h</t>
    </r>
    <r>
      <rPr>
        <rFont val="Arial"/>
        <color theme="1"/>
        <sz val="10.0"/>
      </rPr>
      <t>/</t>
    </r>
    <r>
      <rPr>
        <rFont val="Arial"/>
        <i/>
        <color theme="1"/>
        <sz val="10.0"/>
      </rPr>
      <t>B</t>
    </r>
    <r>
      <rPr>
        <rFont val="Arial"/>
        <i/>
        <color theme="1"/>
        <sz val="10.0"/>
        <vertAlign val="subscript"/>
      </rPr>
      <t>U</t>
    </r>
    <r>
      <rPr>
        <rFont val="Arial"/>
        <color theme="1"/>
        <sz val="10.0"/>
      </rPr>
      <t xml:space="preserve"> for deep foundation</t>
    </r>
  </si>
  <si>
    <r>
      <rPr>
        <rFont val="Arial"/>
        <i/>
        <color theme="1"/>
        <sz val="10.0"/>
      </rPr>
      <t>F</t>
    </r>
    <r>
      <rPr>
        <rFont val="Arial"/>
        <i/>
        <color theme="1"/>
        <sz val="10.0"/>
        <vertAlign val="subscript"/>
      </rPr>
      <t>C</t>
    </r>
  </si>
  <si>
    <t>Breakout factor for uplift in cohesive soils</t>
  </si>
  <si>
    <r>
      <rPr>
        <rFont val="Arial"/>
        <color theme="1"/>
        <sz val="10.0"/>
      </rPr>
      <t xml:space="preserve">1.2 </t>
    </r>
    <r>
      <rPr>
        <rFont val="Arial"/>
        <i/>
        <color theme="1"/>
        <sz val="10.0"/>
      </rPr>
      <t>d</t>
    </r>
    <r>
      <rPr>
        <rFont val="Arial"/>
        <i/>
        <color theme="1"/>
        <sz val="10.0"/>
        <vertAlign val="subscript"/>
      </rPr>
      <t>U</t>
    </r>
    <r>
      <rPr>
        <rFont val="Arial"/>
        <color theme="1"/>
        <sz val="10.0"/>
      </rPr>
      <t>/</t>
    </r>
    <r>
      <rPr>
        <rFont val="Arial"/>
        <i/>
        <color theme="1"/>
        <sz val="10.0"/>
      </rPr>
      <t>B</t>
    </r>
    <r>
      <rPr>
        <rFont val="Arial"/>
        <i/>
        <color theme="1"/>
        <sz val="10.0"/>
        <vertAlign val="subscript"/>
      </rPr>
      <t>U</t>
    </r>
    <r>
      <rPr>
        <rFont val="Arial"/>
        <color theme="1"/>
        <sz val="10.0"/>
      </rPr>
      <t xml:space="preserve"> &lt; 9</t>
    </r>
  </si>
  <si>
    <t>Ultimate uplift resistance due to soil mass</t>
  </si>
  <si>
    <r>
      <rPr>
        <rFont val="Arial"/>
        <color theme="1"/>
        <sz val="10.0"/>
      </rPr>
      <t xml:space="preserve">Appropriate value from following </t>
    </r>
    <r>
      <rPr>
        <rFont val="Arial"/>
        <i/>
        <color theme="1"/>
        <sz val="10.0"/>
      </rPr>
      <t>U</t>
    </r>
    <r>
      <rPr>
        <rFont val="Arial"/>
        <color theme="1"/>
        <sz val="10.0"/>
      </rPr>
      <t xml:space="preserve"> calculations</t>
    </r>
  </si>
  <si>
    <r>
      <rPr>
        <rFont val="Arial"/>
        <i/>
        <color theme="1"/>
        <sz val="10.0"/>
      </rPr>
      <t>U</t>
    </r>
    <r>
      <rPr>
        <rFont val="Arial"/>
        <i val="0"/>
        <color theme="1"/>
        <sz val="10.0"/>
      </rPr>
      <t xml:space="preserve"> value for conditions given</t>
    </r>
  </si>
  <si>
    <t>Shallow foundation in cohesionless soils with circular uplift resisting system</t>
  </si>
  <si>
    <r>
      <rPr>
        <rFont val="Noto Sans Symbols"/>
        <i/>
        <color theme="1"/>
        <sz val="10.0"/>
      </rPr>
      <t>g</t>
    </r>
    <r>
      <rPr>
        <rFont val="Arial"/>
        <i val="0"/>
        <color theme="1"/>
        <sz val="10.0"/>
      </rPr>
      <t xml:space="preserve"> </t>
    </r>
    <r>
      <rPr>
        <rFont val="Arial"/>
        <i/>
        <color theme="1"/>
        <sz val="10.0"/>
      </rPr>
      <t>d</t>
    </r>
    <r>
      <rPr>
        <rFont val="Arial"/>
        <i/>
        <color theme="1"/>
        <sz val="10.0"/>
        <vertAlign val="subscript"/>
      </rPr>
      <t>U</t>
    </r>
    <r>
      <rPr>
        <rFont val="Arial"/>
        <i val="0"/>
        <color theme="1"/>
        <sz val="10.0"/>
      </rPr>
      <t xml:space="preserve"> (</t>
    </r>
    <r>
      <rPr>
        <rFont val="Symbol"/>
        <i val="0"/>
        <color theme="1"/>
        <sz val="10.0"/>
      </rPr>
      <t>p</t>
    </r>
    <r>
      <rPr>
        <rFont val="Arial"/>
        <i val="0"/>
        <color theme="1"/>
        <sz val="10.0"/>
      </rPr>
      <t xml:space="preserve"> </t>
    </r>
    <r>
      <rPr>
        <rFont val="Arial"/>
        <i/>
        <color theme="1"/>
        <sz val="10.0"/>
      </rPr>
      <t>d</t>
    </r>
    <r>
      <rPr>
        <rFont val="Arial"/>
        <i/>
        <color theme="1"/>
        <sz val="10.0"/>
        <vertAlign val="subscript"/>
      </rPr>
      <t>U</t>
    </r>
    <r>
      <rPr>
        <rFont val="Arial"/>
        <i/>
        <color theme="1"/>
        <sz val="10.0"/>
      </rPr>
      <t xml:space="preserve"> s</t>
    </r>
    <r>
      <rPr>
        <rFont val="Arial"/>
        <i/>
        <color theme="1"/>
        <sz val="10.0"/>
        <vertAlign val="subscript"/>
      </rPr>
      <t xml:space="preserve">F </t>
    </r>
    <r>
      <rPr>
        <rFont val="Arial"/>
        <i/>
        <color theme="1"/>
        <sz val="10.0"/>
      </rPr>
      <t>B</t>
    </r>
    <r>
      <rPr>
        <rFont val="Arial"/>
        <i/>
        <color theme="1"/>
        <sz val="10.0"/>
        <vertAlign val="subscript"/>
      </rPr>
      <t>U</t>
    </r>
    <r>
      <rPr>
        <rFont val="Arial"/>
        <i/>
        <color theme="1"/>
        <sz val="10.0"/>
      </rPr>
      <t xml:space="preserve"> K</t>
    </r>
    <r>
      <rPr>
        <rFont val="Arial"/>
        <i/>
        <color theme="1"/>
        <sz val="10.0"/>
        <vertAlign val="subscript"/>
      </rPr>
      <t>U</t>
    </r>
    <r>
      <rPr>
        <rFont val="Arial"/>
        <i/>
        <color theme="1"/>
        <sz val="10.0"/>
      </rPr>
      <t xml:space="preserve"> </t>
    </r>
    <r>
      <rPr>
        <rFont val="Arial"/>
        <i val="0"/>
        <color theme="1"/>
        <sz val="10.0"/>
      </rPr>
      <t>tan</t>
    </r>
    <r>
      <rPr>
        <rFont val="Symbol"/>
        <i/>
        <color theme="1"/>
        <sz val="10.0"/>
      </rPr>
      <t>f</t>
    </r>
    <r>
      <rPr>
        <rFont val="Arial"/>
        <i/>
        <color theme="1"/>
        <sz val="10.0"/>
      </rPr>
      <t xml:space="preserve"> /</t>
    </r>
    <r>
      <rPr>
        <rFont val="Arial"/>
        <i val="0"/>
        <color theme="1"/>
        <sz val="10.0"/>
      </rPr>
      <t xml:space="preserve"> 2 + </t>
    </r>
    <r>
      <rPr>
        <rFont val="Arial"/>
        <i/>
        <color theme="1"/>
        <sz val="10.0"/>
      </rPr>
      <t>B</t>
    </r>
    <r>
      <rPr>
        <rFont val="Arial"/>
        <i/>
        <color theme="1"/>
        <sz val="10.0"/>
        <vertAlign val="subscript"/>
      </rPr>
      <t>U</t>
    </r>
    <r>
      <rPr>
        <rFont val="Arial"/>
        <i/>
        <color theme="1"/>
        <sz val="10.0"/>
        <vertAlign val="superscript"/>
      </rPr>
      <t xml:space="preserve">2 </t>
    </r>
    <r>
      <rPr>
        <rFont val="Symbol"/>
        <i val="0"/>
        <color theme="1"/>
        <sz val="10.0"/>
      </rPr>
      <t>p</t>
    </r>
    <r>
      <rPr>
        <rFont val="Arial"/>
        <i val="0"/>
        <color theme="1"/>
        <sz val="10.0"/>
      </rPr>
      <t xml:space="preserve"> </t>
    </r>
    <r>
      <rPr>
        <rFont val="Arial"/>
        <i/>
        <color theme="1"/>
        <sz val="10.0"/>
      </rPr>
      <t>/</t>
    </r>
    <r>
      <rPr>
        <rFont val="Arial"/>
        <i val="0"/>
        <color theme="1"/>
        <sz val="10.0"/>
      </rPr>
      <t xml:space="preserve"> 4 </t>
    </r>
    <r>
      <rPr>
        <rFont val="Arial"/>
        <i/>
        <color theme="1"/>
        <sz val="10.0"/>
      </rPr>
      <t>– A</t>
    </r>
    <r>
      <rPr>
        <rFont val="Arial"/>
        <i/>
        <color theme="1"/>
        <sz val="10.0"/>
        <vertAlign val="subscript"/>
      </rPr>
      <t>p</t>
    </r>
    <r>
      <rPr>
        <rFont val="Arial"/>
        <i val="0"/>
        <color theme="1"/>
        <sz val="10.0"/>
      </rPr>
      <t>)</t>
    </r>
  </si>
  <si>
    <t>ASAE EP 486.3 Clause 12.5.1.1</t>
  </si>
  <si>
    <t>Shallow foundation in cohesionless soils with rectangular uplift resisting system</t>
  </si>
  <si>
    <r>
      <rPr>
        <rFont val="Noto Sans Symbols"/>
        <i/>
        <color theme="1"/>
        <sz val="10.0"/>
      </rPr>
      <t>g</t>
    </r>
    <r>
      <rPr>
        <rFont val="Arial"/>
        <i val="0"/>
        <color theme="1"/>
        <sz val="10.0"/>
      </rPr>
      <t xml:space="preserve"> </t>
    </r>
    <r>
      <rPr>
        <rFont val="Arial"/>
        <i/>
        <color theme="1"/>
        <sz val="10.0"/>
      </rPr>
      <t>d</t>
    </r>
    <r>
      <rPr>
        <rFont val="Arial"/>
        <i/>
        <color theme="1"/>
        <sz val="10.0"/>
        <vertAlign val="subscript"/>
      </rPr>
      <t>U</t>
    </r>
    <r>
      <rPr>
        <rFont val="Arial"/>
        <i val="0"/>
        <color theme="1"/>
        <sz val="10.0"/>
      </rPr>
      <t xml:space="preserve"> [</t>
    </r>
    <r>
      <rPr>
        <rFont val="Arial"/>
        <i/>
        <color theme="1"/>
        <sz val="10.0"/>
      </rPr>
      <t>d</t>
    </r>
    <r>
      <rPr>
        <rFont val="Arial"/>
        <i/>
        <color theme="1"/>
        <sz val="10.0"/>
        <vertAlign val="subscript"/>
      </rPr>
      <t xml:space="preserve">U </t>
    </r>
    <r>
      <rPr>
        <rFont val="Arial"/>
        <i/>
        <color theme="1"/>
        <sz val="10.0"/>
      </rPr>
      <t>(2s</t>
    </r>
    <r>
      <rPr>
        <rFont val="Arial"/>
        <i/>
        <color theme="1"/>
        <sz val="10.0"/>
        <vertAlign val="subscript"/>
      </rPr>
      <t xml:space="preserve">F </t>
    </r>
    <r>
      <rPr>
        <rFont val="Arial"/>
        <i/>
        <color theme="1"/>
        <sz val="10.0"/>
      </rPr>
      <t>B</t>
    </r>
    <r>
      <rPr>
        <rFont val="Arial"/>
        <i/>
        <color theme="1"/>
        <sz val="10.0"/>
        <vertAlign val="subscript"/>
      </rPr>
      <t>U</t>
    </r>
    <r>
      <rPr>
        <rFont val="Arial"/>
        <i/>
        <color theme="1"/>
        <sz val="10.0"/>
      </rPr>
      <t xml:space="preserve"> + L</t>
    </r>
    <r>
      <rPr>
        <rFont val="Arial"/>
        <i/>
        <color theme="1"/>
        <sz val="10.0"/>
        <vertAlign val="subscript"/>
      </rPr>
      <t>U</t>
    </r>
    <r>
      <rPr>
        <rFont val="Arial"/>
        <i val="0"/>
        <color theme="1"/>
        <sz val="10.0"/>
      </rPr>
      <t xml:space="preserve"> –</t>
    </r>
    <r>
      <rPr>
        <rFont val="Arial"/>
        <i/>
        <color theme="1"/>
        <sz val="10.0"/>
      </rPr>
      <t xml:space="preserve"> B</t>
    </r>
    <r>
      <rPr>
        <rFont val="Arial"/>
        <i/>
        <color theme="1"/>
        <sz val="10.0"/>
        <vertAlign val="subscript"/>
      </rPr>
      <t>U</t>
    </r>
    <r>
      <rPr>
        <rFont val="Arial"/>
        <i/>
        <color theme="1"/>
        <sz val="10.0"/>
      </rPr>
      <t>) K</t>
    </r>
    <r>
      <rPr>
        <rFont val="Arial"/>
        <i/>
        <color theme="1"/>
        <sz val="10.0"/>
        <vertAlign val="subscript"/>
      </rPr>
      <t>U</t>
    </r>
    <r>
      <rPr>
        <rFont val="Arial"/>
        <i/>
        <color theme="1"/>
        <sz val="10.0"/>
      </rPr>
      <t xml:space="preserve"> </t>
    </r>
    <r>
      <rPr>
        <rFont val="Arial"/>
        <i val="0"/>
        <color theme="1"/>
        <sz val="10.0"/>
      </rPr>
      <t>tan</t>
    </r>
    <r>
      <rPr>
        <rFont val="Symbol"/>
        <i/>
        <color theme="1"/>
        <sz val="10.0"/>
      </rPr>
      <t>f</t>
    </r>
    <r>
      <rPr>
        <rFont val="Arial"/>
        <i val="0"/>
        <color theme="1"/>
        <sz val="10.0"/>
      </rPr>
      <t xml:space="preserve"> + </t>
    </r>
    <r>
      <rPr>
        <rFont val="Arial"/>
        <i/>
        <color theme="1"/>
        <sz val="10.0"/>
      </rPr>
      <t>B</t>
    </r>
    <r>
      <rPr>
        <rFont val="Arial"/>
        <i/>
        <color theme="1"/>
        <sz val="10.0"/>
        <vertAlign val="subscript"/>
      </rPr>
      <t xml:space="preserve">U </t>
    </r>
    <r>
      <rPr>
        <rFont val="Arial"/>
        <i/>
        <color theme="1"/>
        <sz val="10.0"/>
      </rPr>
      <t>L</t>
    </r>
    <r>
      <rPr>
        <rFont val="Arial"/>
        <i/>
        <color theme="1"/>
        <sz val="10.0"/>
        <vertAlign val="subscript"/>
      </rPr>
      <t>U</t>
    </r>
    <r>
      <rPr>
        <rFont val="Arial"/>
        <i val="0"/>
        <color theme="1"/>
        <sz val="10.0"/>
      </rPr>
      <t xml:space="preserve"> </t>
    </r>
    <r>
      <rPr>
        <rFont val="Arial"/>
        <i/>
        <color theme="1"/>
        <sz val="10.0"/>
      </rPr>
      <t>– A</t>
    </r>
    <r>
      <rPr>
        <rFont val="Arial"/>
        <i/>
        <color theme="1"/>
        <sz val="10.0"/>
        <vertAlign val="subscript"/>
      </rPr>
      <t>p</t>
    </r>
    <r>
      <rPr>
        <rFont val="Arial"/>
        <i val="0"/>
        <color theme="1"/>
        <sz val="10.0"/>
      </rPr>
      <t>]</t>
    </r>
  </si>
  <si>
    <t>Deep foundation in cohesionless soils with circular uplift resisting system</t>
  </si>
  <si>
    <r>
      <rPr>
        <rFont val="Noto Sans Symbols"/>
        <i/>
        <color theme="1"/>
        <sz val="10.0"/>
      </rPr>
      <t>g</t>
    </r>
    <r>
      <rPr>
        <rFont val="Arial"/>
        <i val="0"/>
        <color theme="1"/>
        <sz val="10.0"/>
      </rPr>
      <t xml:space="preserve">  [</t>
    </r>
    <r>
      <rPr>
        <rFont val="Symbol"/>
        <i val="0"/>
        <color theme="1"/>
        <sz val="10.0"/>
      </rPr>
      <t>p</t>
    </r>
    <r>
      <rPr>
        <rFont val="Arial"/>
        <i val="0"/>
        <color theme="1"/>
        <sz val="10.0"/>
      </rPr>
      <t xml:space="preserve"> </t>
    </r>
    <r>
      <rPr>
        <rFont val="Arial"/>
        <i/>
        <color theme="1"/>
        <sz val="10.0"/>
      </rPr>
      <t xml:space="preserve">h </t>
    </r>
    <r>
      <rPr>
        <rFont val="Arial"/>
        <i val="0"/>
        <color theme="1"/>
        <sz val="10.0"/>
      </rPr>
      <t>(</t>
    </r>
    <r>
      <rPr>
        <rFont val="Arial"/>
        <i/>
        <color theme="1"/>
        <sz val="10.0"/>
      </rPr>
      <t>d</t>
    </r>
    <r>
      <rPr>
        <rFont val="Arial"/>
        <i/>
        <color theme="1"/>
        <sz val="10.0"/>
        <vertAlign val="subscript"/>
      </rPr>
      <t xml:space="preserve">U </t>
    </r>
    <r>
      <rPr>
        <rFont val="Arial"/>
        <i/>
        <color theme="1"/>
        <sz val="10.0"/>
      </rPr>
      <t>– h /</t>
    </r>
    <r>
      <rPr>
        <rFont val="Arial"/>
        <i val="0"/>
        <color theme="1"/>
        <sz val="10.0"/>
      </rPr>
      <t xml:space="preserve"> 2)</t>
    </r>
    <r>
      <rPr>
        <rFont val="Arial"/>
        <i/>
        <color theme="1"/>
        <sz val="10.0"/>
      </rPr>
      <t xml:space="preserve"> s</t>
    </r>
    <r>
      <rPr>
        <rFont val="Arial"/>
        <i/>
        <color theme="1"/>
        <sz val="10.0"/>
        <vertAlign val="subscript"/>
      </rPr>
      <t xml:space="preserve">F </t>
    </r>
    <r>
      <rPr>
        <rFont val="Arial"/>
        <i/>
        <color theme="1"/>
        <sz val="10.0"/>
      </rPr>
      <t>B</t>
    </r>
    <r>
      <rPr>
        <rFont val="Arial"/>
        <i/>
        <color theme="1"/>
        <sz val="10.0"/>
        <vertAlign val="subscript"/>
      </rPr>
      <t>U</t>
    </r>
    <r>
      <rPr>
        <rFont val="Arial"/>
        <i/>
        <color theme="1"/>
        <sz val="10.0"/>
      </rPr>
      <t xml:space="preserve"> K</t>
    </r>
    <r>
      <rPr>
        <rFont val="Arial"/>
        <i/>
        <color theme="1"/>
        <sz val="10.0"/>
        <vertAlign val="subscript"/>
      </rPr>
      <t>U</t>
    </r>
    <r>
      <rPr>
        <rFont val="Arial"/>
        <i/>
        <color theme="1"/>
        <sz val="10.0"/>
      </rPr>
      <t xml:space="preserve"> </t>
    </r>
    <r>
      <rPr>
        <rFont val="Arial"/>
        <i val="0"/>
        <color theme="1"/>
        <sz val="10.0"/>
      </rPr>
      <t>tan</t>
    </r>
    <r>
      <rPr>
        <rFont val="Symbol"/>
        <i/>
        <color theme="1"/>
        <sz val="10.0"/>
      </rPr>
      <t>f</t>
    </r>
    <r>
      <rPr>
        <rFont val="Arial"/>
        <i val="0"/>
        <color theme="1"/>
        <sz val="10.0"/>
      </rPr>
      <t xml:space="preserve"> + </t>
    </r>
    <r>
      <rPr>
        <rFont val="Arial"/>
        <i/>
        <color theme="1"/>
        <sz val="10.0"/>
      </rPr>
      <t>d</t>
    </r>
    <r>
      <rPr>
        <rFont val="Arial"/>
        <i/>
        <color theme="1"/>
        <sz val="10.0"/>
        <vertAlign val="subscript"/>
      </rPr>
      <t>U</t>
    </r>
    <r>
      <rPr>
        <rFont val="Arial"/>
        <i val="0"/>
        <color theme="1"/>
        <sz val="10.0"/>
      </rPr>
      <t xml:space="preserve"> </t>
    </r>
    <r>
      <rPr>
        <rFont val="Arial"/>
        <i/>
        <color theme="1"/>
        <sz val="10.0"/>
      </rPr>
      <t>B</t>
    </r>
    <r>
      <rPr>
        <rFont val="Arial"/>
        <i/>
        <color theme="1"/>
        <sz val="10.0"/>
        <vertAlign val="subscript"/>
      </rPr>
      <t>U</t>
    </r>
    <r>
      <rPr>
        <rFont val="Arial"/>
        <i/>
        <color theme="1"/>
        <sz val="10.0"/>
        <vertAlign val="superscript"/>
      </rPr>
      <t xml:space="preserve">2 </t>
    </r>
    <r>
      <rPr>
        <rFont val="Symbol"/>
        <i val="0"/>
        <color theme="1"/>
        <sz val="10.0"/>
      </rPr>
      <t>p</t>
    </r>
    <r>
      <rPr>
        <rFont val="Arial"/>
        <i val="0"/>
        <color theme="1"/>
        <sz val="10.0"/>
      </rPr>
      <t xml:space="preserve"> </t>
    </r>
    <r>
      <rPr>
        <rFont val="Arial"/>
        <i/>
        <color theme="1"/>
        <sz val="10.0"/>
      </rPr>
      <t>/</t>
    </r>
    <r>
      <rPr>
        <rFont val="Arial"/>
        <i val="0"/>
        <color theme="1"/>
        <sz val="10.0"/>
      </rPr>
      <t xml:space="preserve"> 4 </t>
    </r>
    <r>
      <rPr>
        <rFont val="Arial"/>
        <i/>
        <color theme="1"/>
        <sz val="10.0"/>
      </rPr>
      <t>– d</t>
    </r>
    <r>
      <rPr>
        <rFont val="Arial"/>
        <i/>
        <color theme="1"/>
        <sz val="10.0"/>
        <vertAlign val="subscript"/>
      </rPr>
      <t>U</t>
    </r>
    <r>
      <rPr>
        <rFont val="Arial"/>
        <i val="0"/>
        <color theme="1"/>
        <sz val="10.0"/>
      </rPr>
      <t xml:space="preserve"> </t>
    </r>
    <r>
      <rPr>
        <rFont val="Arial"/>
        <i/>
        <color theme="1"/>
        <sz val="10.0"/>
      </rPr>
      <t>A</t>
    </r>
    <r>
      <rPr>
        <rFont val="Arial"/>
        <i/>
        <color theme="1"/>
        <sz val="10.0"/>
        <vertAlign val="subscript"/>
      </rPr>
      <t>p</t>
    </r>
    <r>
      <rPr>
        <rFont val="Arial"/>
        <i val="0"/>
        <color theme="1"/>
        <sz val="10.0"/>
      </rPr>
      <t>]</t>
    </r>
  </si>
  <si>
    <t>ASAE EP 486.3 Clause 12.5.1.2</t>
  </si>
  <si>
    <t>Deep foundation in cohesionless soils with rectangular uplift resisting system</t>
  </si>
  <si>
    <r>
      <rPr>
        <rFont val="Noto Sans Symbols"/>
        <i/>
        <color theme="1"/>
        <sz val="10.0"/>
      </rPr>
      <t>g</t>
    </r>
    <r>
      <rPr>
        <rFont val="Arial"/>
        <i val="0"/>
        <color theme="1"/>
        <sz val="10.0"/>
      </rPr>
      <t xml:space="preserve">  [</t>
    </r>
    <r>
      <rPr>
        <rFont val="Arial"/>
        <i/>
        <color theme="1"/>
        <sz val="10.0"/>
      </rPr>
      <t>h (2d</t>
    </r>
    <r>
      <rPr>
        <rFont val="Arial"/>
        <i/>
        <color theme="1"/>
        <sz val="10.0"/>
        <vertAlign val="subscript"/>
      </rPr>
      <t xml:space="preserve">U </t>
    </r>
    <r>
      <rPr>
        <rFont val="Arial"/>
        <i/>
        <color theme="1"/>
        <sz val="10.0"/>
      </rPr>
      <t>– h) (2s</t>
    </r>
    <r>
      <rPr>
        <rFont val="Arial"/>
        <i/>
        <color theme="1"/>
        <sz val="10.0"/>
        <vertAlign val="subscript"/>
      </rPr>
      <t>F</t>
    </r>
    <r>
      <rPr>
        <rFont val="Arial"/>
        <i/>
        <color theme="1"/>
        <sz val="10.0"/>
      </rPr>
      <t>B</t>
    </r>
    <r>
      <rPr>
        <rFont val="Arial"/>
        <i/>
        <color theme="1"/>
        <sz val="10.0"/>
        <vertAlign val="subscript"/>
      </rPr>
      <t>U</t>
    </r>
    <r>
      <rPr>
        <rFont val="Arial"/>
        <i/>
        <color theme="1"/>
        <sz val="10.0"/>
      </rPr>
      <t>+L</t>
    </r>
    <r>
      <rPr>
        <rFont val="Arial"/>
        <i/>
        <color theme="1"/>
        <sz val="10.0"/>
        <vertAlign val="subscript"/>
      </rPr>
      <t>U</t>
    </r>
    <r>
      <rPr>
        <rFont val="Arial"/>
        <i val="0"/>
        <color theme="1"/>
        <sz val="10.0"/>
      </rPr>
      <t>–</t>
    </r>
    <r>
      <rPr>
        <rFont val="Arial"/>
        <i/>
        <color theme="1"/>
        <sz val="10.0"/>
      </rPr>
      <t>B</t>
    </r>
    <r>
      <rPr>
        <rFont val="Arial"/>
        <i/>
        <color theme="1"/>
        <sz val="10.0"/>
        <vertAlign val="subscript"/>
      </rPr>
      <t>U</t>
    </r>
    <r>
      <rPr>
        <rFont val="Arial"/>
        <i/>
        <color theme="1"/>
        <sz val="10.0"/>
      </rPr>
      <t>) K</t>
    </r>
    <r>
      <rPr>
        <rFont val="Arial"/>
        <i/>
        <color theme="1"/>
        <sz val="10.0"/>
        <vertAlign val="subscript"/>
      </rPr>
      <t>U</t>
    </r>
    <r>
      <rPr>
        <rFont val="Arial"/>
        <i/>
        <color theme="1"/>
        <sz val="10.0"/>
      </rPr>
      <t xml:space="preserve"> </t>
    </r>
    <r>
      <rPr>
        <rFont val="Arial"/>
        <i val="0"/>
        <color theme="1"/>
        <sz val="10.0"/>
      </rPr>
      <t>tan</t>
    </r>
    <r>
      <rPr>
        <rFont val="Symbol"/>
        <i/>
        <color theme="1"/>
        <sz val="10.0"/>
      </rPr>
      <t>f</t>
    </r>
    <r>
      <rPr>
        <rFont val="Arial"/>
        <i val="0"/>
        <color theme="1"/>
        <sz val="10.0"/>
      </rPr>
      <t xml:space="preserve"> + </t>
    </r>
    <r>
      <rPr>
        <rFont val="Arial"/>
        <i/>
        <color theme="1"/>
        <sz val="10.0"/>
      </rPr>
      <t>d</t>
    </r>
    <r>
      <rPr>
        <rFont val="Arial"/>
        <i/>
        <color theme="1"/>
        <sz val="10.0"/>
        <vertAlign val="subscript"/>
      </rPr>
      <t>U</t>
    </r>
    <r>
      <rPr>
        <rFont val="Arial"/>
        <i/>
        <color theme="1"/>
        <sz val="10.0"/>
      </rPr>
      <t>B</t>
    </r>
    <r>
      <rPr>
        <rFont val="Arial"/>
        <i/>
        <color theme="1"/>
        <sz val="10.0"/>
        <vertAlign val="subscript"/>
      </rPr>
      <t>U</t>
    </r>
    <r>
      <rPr>
        <rFont val="Arial"/>
        <i/>
        <color theme="1"/>
        <sz val="10.0"/>
      </rPr>
      <t>L</t>
    </r>
    <r>
      <rPr>
        <rFont val="Arial"/>
        <i/>
        <color theme="1"/>
        <sz val="10.0"/>
        <vertAlign val="subscript"/>
      </rPr>
      <t>U</t>
    </r>
    <r>
      <rPr>
        <rFont val="Arial"/>
        <i val="0"/>
        <color theme="1"/>
        <sz val="10.0"/>
      </rPr>
      <t xml:space="preserve"> </t>
    </r>
    <r>
      <rPr>
        <rFont val="Arial"/>
        <i/>
        <color theme="1"/>
        <sz val="10.0"/>
      </rPr>
      <t>– d</t>
    </r>
    <r>
      <rPr>
        <rFont val="Arial"/>
        <i/>
        <color theme="1"/>
        <sz val="10.0"/>
        <vertAlign val="subscript"/>
      </rPr>
      <t>U</t>
    </r>
    <r>
      <rPr>
        <rFont val="Arial"/>
        <i/>
        <color theme="1"/>
        <sz val="10.0"/>
      </rPr>
      <t>A</t>
    </r>
    <r>
      <rPr>
        <rFont val="Arial"/>
        <i/>
        <color theme="1"/>
        <sz val="10.0"/>
        <vertAlign val="subscript"/>
      </rPr>
      <t>p</t>
    </r>
    <r>
      <rPr>
        <rFont val="Arial"/>
        <i val="0"/>
        <color theme="1"/>
        <sz val="10.0"/>
      </rPr>
      <t>]</t>
    </r>
  </si>
  <si>
    <t>Foundation in cohesive soils with circular uplift system</t>
  </si>
  <si>
    <r>
      <rPr>
        <rFont val="Noto Sans Symbols"/>
        <i/>
        <color theme="1"/>
        <sz val="10.0"/>
      </rPr>
      <t>g</t>
    </r>
    <r>
      <rPr>
        <rFont val="Arial"/>
        <i val="0"/>
        <color theme="1"/>
        <sz val="10.0"/>
      </rPr>
      <t xml:space="preserve"> </t>
    </r>
    <r>
      <rPr>
        <rFont val="Arial"/>
        <i/>
        <color theme="1"/>
        <sz val="10.0"/>
      </rPr>
      <t>d</t>
    </r>
    <r>
      <rPr>
        <rFont val="Arial"/>
        <i/>
        <color theme="1"/>
        <sz val="10.0"/>
        <vertAlign val="subscript"/>
      </rPr>
      <t xml:space="preserve">U </t>
    </r>
    <r>
      <rPr>
        <rFont val="Arial"/>
        <i val="0"/>
        <color theme="1"/>
        <sz val="10.0"/>
      </rPr>
      <t>(</t>
    </r>
    <r>
      <rPr>
        <rFont val="Arial"/>
        <i/>
        <color theme="1"/>
        <sz val="10.0"/>
      </rPr>
      <t>B</t>
    </r>
    <r>
      <rPr>
        <rFont val="Arial"/>
        <i/>
        <color theme="1"/>
        <sz val="10.0"/>
        <vertAlign val="subscript"/>
      </rPr>
      <t>U</t>
    </r>
    <r>
      <rPr>
        <rFont val="Arial"/>
        <i/>
        <color theme="1"/>
        <sz val="10.0"/>
        <vertAlign val="superscript"/>
      </rPr>
      <t xml:space="preserve">2 </t>
    </r>
    <r>
      <rPr>
        <rFont val="Symbol"/>
        <i val="0"/>
        <color theme="1"/>
        <sz val="10.0"/>
      </rPr>
      <t>p</t>
    </r>
    <r>
      <rPr>
        <rFont val="Arial"/>
        <i val="0"/>
        <color theme="1"/>
        <sz val="10.0"/>
      </rPr>
      <t xml:space="preserve"> </t>
    </r>
    <r>
      <rPr>
        <rFont val="Arial"/>
        <i/>
        <color theme="1"/>
        <sz val="10.0"/>
      </rPr>
      <t>/</t>
    </r>
    <r>
      <rPr>
        <rFont val="Arial"/>
        <i val="0"/>
        <color theme="1"/>
        <sz val="10.0"/>
      </rPr>
      <t xml:space="preserve"> 4 </t>
    </r>
    <r>
      <rPr>
        <rFont val="Arial"/>
        <i/>
        <color theme="1"/>
        <sz val="10.0"/>
      </rPr>
      <t>– A</t>
    </r>
    <r>
      <rPr>
        <rFont val="Arial"/>
        <i/>
        <color theme="1"/>
        <sz val="10.0"/>
        <vertAlign val="subscript"/>
      </rPr>
      <t>p</t>
    </r>
    <r>
      <rPr>
        <rFont val="Arial"/>
        <i val="0"/>
        <color theme="1"/>
        <sz val="10.0"/>
      </rPr>
      <t xml:space="preserve">) + </t>
    </r>
    <r>
      <rPr>
        <rFont val="Arial"/>
        <i/>
        <color theme="1"/>
        <sz val="10.0"/>
      </rPr>
      <t>F</t>
    </r>
    <r>
      <rPr>
        <rFont val="Arial"/>
        <i/>
        <color theme="1"/>
        <sz val="10.0"/>
        <vertAlign val="subscript"/>
      </rPr>
      <t>C</t>
    </r>
    <r>
      <rPr>
        <rFont val="Arial"/>
        <i/>
        <color theme="1"/>
        <sz val="10.0"/>
      </rPr>
      <t xml:space="preserve"> S</t>
    </r>
    <r>
      <rPr>
        <rFont val="Arial"/>
        <i/>
        <color theme="1"/>
        <sz val="10.0"/>
        <vertAlign val="subscript"/>
      </rPr>
      <t>u</t>
    </r>
    <r>
      <rPr>
        <rFont val="Arial"/>
        <i val="0"/>
        <color theme="1"/>
        <sz val="10.0"/>
      </rPr>
      <t xml:space="preserve"> </t>
    </r>
    <r>
      <rPr>
        <rFont val="Arial"/>
        <i/>
        <color theme="1"/>
        <sz val="10.0"/>
      </rPr>
      <t>B</t>
    </r>
    <r>
      <rPr>
        <rFont val="Arial"/>
        <i/>
        <color theme="1"/>
        <sz val="10.0"/>
        <vertAlign val="subscript"/>
      </rPr>
      <t>U</t>
    </r>
    <r>
      <rPr>
        <rFont val="Arial"/>
        <i/>
        <color theme="1"/>
        <sz val="10.0"/>
        <vertAlign val="superscript"/>
      </rPr>
      <t xml:space="preserve">2 </t>
    </r>
    <r>
      <rPr>
        <rFont val="Symbol"/>
        <i val="0"/>
        <color theme="1"/>
        <sz val="10.0"/>
      </rPr>
      <t>p</t>
    </r>
    <r>
      <rPr>
        <rFont val="Arial"/>
        <i val="0"/>
        <color theme="1"/>
        <sz val="10.0"/>
      </rPr>
      <t xml:space="preserve"> </t>
    </r>
    <r>
      <rPr>
        <rFont val="Arial"/>
        <i/>
        <color theme="1"/>
        <sz val="10.0"/>
      </rPr>
      <t>/</t>
    </r>
    <r>
      <rPr>
        <rFont val="Arial"/>
        <i val="0"/>
        <color theme="1"/>
        <sz val="10.0"/>
      </rPr>
      <t xml:space="preserve"> 4</t>
    </r>
  </si>
  <si>
    <t>ASAE EP 486.3 Clause 12.5.2</t>
  </si>
  <si>
    <t>Foundation in cohesive soils with rectangular uplift system</t>
  </si>
  <si>
    <r>
      <rPr>
        <rFont val="Noto Sans Symbols"/>
        <i/>
        <color theme="1"/>
        <sz val="10.0"/>
      </rPr>
      <t>g</t>
    </r>
    <r>
      <rPr>
        <rFont val="Arial"/>
        <i val="0"/>
        <color theme="1"/>
        <sz val="10.0"/>
      </rPr>
      <t xml:space="preserve"> </t>
    </r>
    <r>
      <rPr>
        <rFont val="Arial"/>
        <i/>
        <color theme="1"/>
        <sz val="10.0"/>
      </rPr>
      <t>d</t>
    </r>
    <r>
      <rPr>
        <rFont val="Arial"/>
        <i/>
        <color theme="1"/>
        <sz val="10.0"/>
        <vertAlign val="subscript"/>
      </rPr>
      <t>U</t>
    </r>
    <r>
      <rPr>
        <rFont val="Arial"/>
        <i val="0"/>
        <color theme="1"/>
        <sz val="10.0"/>
      </rPr>
      <t xml:space="preserve"> (</t>
    </r>
    <r>
      <rPr>
        <rFont val="Arial"/>
        <i/>
        <color theme="1"/>
        <sz val="10.0"/>
      </rPr>
      <t>B</t>
    </r>
    <r>
      <rPr>
        <rFont val="Arial"/>
        <i/>
        <color theme="1"/>
        <sz val="10.0"/>
        <vertAlign val="subscript"/>
      </rPr>
      <t>U</t>
    </r>
    <r>
      <rPr>
        <rFont val="Arial"/>
        <i/>
        <color theme="1"/>
        <sz val="10.0"/>
        <vertAlign val="superscript"/>
      </rPr>
      <t xml:space="preserve"> </t>
    </r>
    <r>
      <rPr>
        <rFont val="Arial"/>
        <i/>
        <color theme="1"/>
        <sz val="10.0"/>
      </rPr>
      <t>L</t>
    </r>
    <r>
      <rPr>
        <rFont val="Arial"/>
        <i/>
        <color theme="1"/>
        <sz val="10.0"/>
        <vertAlign val="subscript"/>
      </rPr>
      <t>U</t>
    </r>
    <r>
      <rPr>
        <rFont val="Arial"/>
        <i val="0"/>
        <color theme="1"/>
        <sz val="10.0"/>
      </rPr>
      <t xml:space="preserve"> </t>
    </r>
    <r>
      <rPr>
        <rFont val="Arial"/>
        <i/>
        <color theme="1"/>
        <sz val="10.0"/>
      </rPr>
      <t>– A</t>
    </r>
    <r>
      <rPr>
        <rFont val="Arial"/>
        <i/>
        <color theme="1"/>
        <sz val="10.0"/>
        <vertAlign val="subscript"/>
      </rPr>
      <t>p</t>
    </r>
    <r>
      <rPr>
        <rFont val="Arial"/>
        <i val="0"/>
        <color theme="1"/>
        <sz val="10.0"/>
      </rPr>
      <t xml:space="preserve">) + </t>
    </r>
    <r>
      <rPr>
        <rFont val="Arial"/>
        <i/>
        <color theme="1"/>
        <sz val="10.0"/>
      </rPr>
      <t>F</t>
    </r>
    <r>
      <rPr>
        <rFont val="Arial"/>
        <i/>
        <color theme="1"/>
        <sz val="10.0"/>
        <vertAlign val="subscript"/>
      </rPr>
      <t>C</t>
    </r>
    <r>
      <rPr>
        <rFont val="Arial"/>
        <i/>
        <color theme="1"/>
        <sz val="10.0"/>
      </rPr>
      <t xml:space="preserve"> S</t>
    </r>
    <r>
      <rPr>
        <rFont val="Arial"/>
        <i/>
        <color theme="1"/>
        <sz val="10.0"/>
        <vertAlign val="subscript"/>
      </rPr>
      <t>u</t>
    </r>
    <r>
      <rPr>
        <rFont val="Arial"/>
        <i val="0"/>
        <color theme="1"/>
        <sz val="10.0"/>
      </rPr>
      <t xml:space="preserve"> </t>
    </r>
    <r>
      <rPr>
        <rFont val="Arial"/>
        <i/>
        <color theme="1"/>
        <sz val="10.0"/>
      </rPr>
      <t>B</t>
    </r>
    <r>
      <rPr>
        <rFont val="Arial"/>
        <i/>
        <color theme="1"/>
        <sz val="10.0"/>
        <vertAlign val="subscript"/>
      </rPr>
      <t>U</t>
    </r>
    <r>
      <rPr>
        <rFont val="Arial"/>
        <i/>
        <color theme="1"/>
        <sz val="10.0"/>
      </rPr>
      <t xml:space="preserve"> L</t>
    </r>
    <r>
      <rPr>
        <rFont val="Arial"/>
        <i/>
        <color theme="1"/>
        <sz val="10.0"/>
        <vertAlign val="subscript"/>
      </rPr>
      <t>U</t>
    </r>
  </si>
  <si>
    <r>
      <rPr>
        <rFont val="Arial"/>
        <i/>
        <color theme="1"/>
        <sz val="10.0"/>
      </rPr>
      <t>Max P</t>
    </r>
    <r>
      <rPr>
        <rFont val="Arial"/>
        <i/>
        <color theme="1"/>
        <sz val="10.0"/>
        <vertAlign val="subscript"/>
      </rPr>
      <t>LRFD</t>
    </r>
  </si>
  <si>
    <t>Maximum allowed LRFD axial uplift force applied to foundation at grade</t>
  </si>
  <si>
    <r>
      <rPr>
        <rFont val="Arial"/>
        <i/>
        <color theme="1"/>
        <sz val="10.0"/>
      </rPr>
      <t>gM</t>
    </r>
    <r>
      <rPr>
        <rFont val="Arial"/>
        <i/>
        <color theme="1"/>
        <sz val="10.0"/>
        <vertAlign val="subscript"/>
      </rPr>
      <t>F</t>
    </r>
    <r>
      <rPr>
        <rFont val="Arial"/>
        <i val="0"/>
        <color theme="1"/>
        <sz val="10.0"/>
      </rPr>
      <t xml:space="preserve"> +</t>
    </r>
    <r>
      <rPr>
        <rFont val="Arial"/>
        <i/>
        <color theme="1"/>
        <sz val="10.0"/>
      </rPr>
      <t>U</t>
    </r>
    <r>
      <rPr>
        <rFont val="Arial"/>
        <i val="0"/>
        <color theme="1"/>
        <sz val="10.0"/>
      </rPr>
      <t>/</t>
    </r>
    <r>
      <rPr>
        <rFont val="Arial"/>
        <i/>
        <color theme="1"/>
        <sz val="10.0"/>
      </rPr>
      <t>f</t>
    </r>
    <r>
      <rPr>
        <rFont val="Arial"/>
        <i/>
        <color theme="1"/>
        <sz val="10.0"/>
        <vertAlign val="subscript"/>
      </rPr>
      <t>U</t>
    </r>
  </si>
  <si>
    <t>ASAE EP 486.3 Clause 12.4</t>
  </si>
  <si>
    <r>
      <rPr>
        <rFont val="Arial"/>
        <i/>
        <color theme="1"/>
        <sz val="10.0"/>
      </rPr>
      <t>Max P</t>
    </r>
    <r>
      <rPr>
        <rFont val="Arial"/>
        <i/>
        <color theme="1"/>
        <sz val="10.0"/>
        <vertAlign val="subscript"/>
      </rPr>
      <t>ASD</t>
    </r>
  </si>
  <si>
    <t>Maximum allowed ASD axial uplift force applied to foundation at grade</t>
  </si>
  <si>
    <r>
      <rPr>
        <rFont val="Arial"/>
        <i/>
        <color theme="1"/>
        <sz val="10.0"/>
      </rPr>
      <t>gM</t>
    </r>
    <r>
      <rPr>
        <rFont val="Arial"/>
        <i/>
        <color theme="1"/>
        <sz val="10.0"/>
        <vertAlign val="subscript"/>
      </rPr>
      <t>F</t>
    </r>
    <r>
      <rPr>
        <rFont val="Arial"/>
        <i val="0"/>
        <color theme="1"/>
        <sz val="10.0"/>
      </rPr>
      <t xml:space="preserve"> +</t>
    </r>
    <r>
      <rPr>
        <rFont val="Arial"/>
        <i/>
        <color theme="1"/>
        <sz val="10.0"/>
      </rPr>
      <t xml:space="preserve"> R</t>
    </r>
    <r>
      <rPr>
        <rFont val="Arial"/>
        <i/>
        <color theme="1"/>
        <sz val="10.0"/>
        <vertAlign val="subscript"/>
      </rPr>
      <t>U</t>
    </r>
    <r>
      <rPr>
        <rFont val="Arial"/>
        <i/>
        <color theme="1"/>
        <sz val="10.0"/>
      </rPr>
      <t>U</t>
    </r>
  </si>
  <si>
    <t>ASAE EP 486.3 Clause 12.3</t>
  </si>
  <si>
    <t>ASAE EP 486.3 Table 5 - LRFD Resistance Factors and ASD Safety Factors for Uplift Strength Assessment</t>
  </si>
  <si>
    <t xml:space="preserve">Soil </t>
  </si>
  <si>
    <r>
      <rPr>
        <rFont val="Arial"/>
        <b/>
        <color rgb="FF000000"/>
        <sz val="10.0"/>
      </rPr>
      <t xml:space="preserve">Required property </t>
    </r>
    <r>
      <rPr>
        <rFont val="Arial"/>
        <b/>
        <color rgb="FF000000"/>
        <sz val="10.0"/>
        <vertAlign val="superscript"/>
      </rPr>
      <t>(a)</t>
    </r>
  </si>
  <si>
    <r>
      <rPr>
        <rFont val="Arial"/>
        <b/>
        <color rgb="FF000000"/>
        <sz val="10.0"/>
      </rPr>
      <t>Method used to determine required soil property</t>
    </r>
    <r>
      <rPr>
        <rFont val="Arial"/>
        <b/>
        <color rgb="FF000000"/>
        <sz val="10.0"/>
        <vertAlign val="superscript"/>
      </rPr>
      <t xml:space="preserve"> (a)</t>
    </r>
  </si>
  <si>
    <r>
      <rPr>
        <rFont val="Arial"/>
        <b/>
        <color theme="1"/>
        <sz val="10.0"/>
      </rPr>
      <t xml:space="preserve">For </t>
    </r>
    <r>
      <rPr>
        <rFont val="Symbol"/>
        <b/>
        <i/>
        <color theme="1"/>
        <sz val="10.0"/>
      </rPr>
      <t>f</t>
    </r>
    <r>
      <rPr>
        <rFont val="Arial"/>
        <b/>
        <color theme="1"/>
        <sz val="10.0"/>
      </rPr>
      <t xml:space="preserve"> =</t>
    </r>
  </si>
  <si>
    <r>
      <rPr>
        <rFont val="Arial"/>
        <b/>
        <color rgb="FF000000"/>
        <sz val="10.0"/>
      </rPr>
      <t>LRFD resistance factor for uplift strength assessment,</t>
    </r>
    <r>
      <rPr>
        <rFont val="Arial"/>
        <b/>
        <i/>
        <color rgb="FF000000"/>
        <sz val="10.0"/>
      </rPr>
      <t xml:space="preserve"> R</t>
    </r>
    <r>
      <rPr>
        <rFont val="Arial"/>
        <b/>
        <i/>
        <color rgb="FF000000"/>
        <sz val="10.0"/>
        <vertAlign val="subscript"/>
      </rPr>
      <t>U</t>
    </r>
    <r>
      <rPr>
        <rFont val="Arial"/>
        <b/>
        <color rgb="FF000000"/>
        <sz val="10.0"/>
        <vertAlign val="superscript"/>
      </rPr>
      <t xml:space="preserve"> (b)</t>
    </r>
  </si>
  <si>
    <r>
      <rPr>
        <rFont val="Arial"/>
        <b/>
        <color rgb="FF000000"/>
        <sz val="10.0"/>
      </rPr>
      <t xml:space="preserve">ASD safety factor for uplift strength assessment, </t>
    </r>
    <r>
      <rPr>
        <rFont val="Arial"/>
        <b/>
        <i/>
        <color rgb="FF000000"/>
        <sz val="10.0"/>
      </rPr>
      <t>f</t>
    </r>
    <r>
      <rPr>
        <rFont val="Arial"/>
        <b/>
        <i/>
        <color rgb="FF000000"/>
        <sz val="10.0"/>
        <vertAlign val="subscript"/>
      </rPr>
      <t>U</t>
    </r>
    <r>
      <rPr>
        <rFont val="Arial"/>
        <b/>
        <i/>
        <color rgb="FF000000"/>
        <sz val="10.0"/>
      </rPr>
      <t xml:space="preserve"> </t>
    </r>
    <r>
      <rPr>
        <rFont val="Arial"/>
        <b/>
        <color rgb="FF000000"/>
        <sz val="10.0"/>
        <vertAlign val="superscript"/>
      </rPr>
      <t>(b)</t>
    </r>
  </si>
  <si>
    <r>
      <rPr>
        <rFont val="Arial"/>
        <b/>
        <color theme="1"/>
        <sz val="10.0"/>
      </rPr>
      <t>Low Risk</t>
    </r>
    <r>
      <rPr>
        <rFont val="Arial"/>
        <b/>
        <color theme="1"/>
        <sz val="10.0"/>
        <vertAlign val="superscript"/>
      </rPr>
      <t xml:space="preserve"> (c)</t>
    </r>
  </si>
  <si>
    <r>
      <rPr>
        <rFont val="Arial"/>
        <b/>
        <color theme="1"/>
        <sz val="10.0"/>
      </rPr>
      <t xml:space="preserve">Low Risk </t>
    </r>
    <r>
      <rPr>
        <rFont val="Arial"/>
        <b/>
        <color theme="1"/>
        <sz val="10.0"/>
        <vertAlign val="superscript"/>
      </rPr>
      <t>(c)</t>
    </r>
  </si>
  <si>
    <r>
      <rPr>
        <rFont val="Arial"/>
        <color rgb="FF000000"/>
        <sz val="10.0"/>
      </rPr>
      <t xml:space="preserve">Soil friction angle </t>
    </r>
    <r>
      <rPr>
        <rFont val="Symbol"/>
        <i/>
        <color rgb="FF000000"/>
        <sz val="10.0"/>
      </rPr>
      <t>f</t>
    </r>
    <r>
      <rPr>
        <rFont val="Arial"/>
        <color rgb="FF000000"/>
        <sz val="10.0"/>
      </rPr>
      <t xml:space="preserve"> for use in the equations of clauses 12.5.1.1 and 12.5.1.2</t>
    </r>
  </si>
  <si>
    <t>Laboratory direct shear or axial compression tests (see clause 5.8.1)</t>
  </si>
  <si>
    <r>
      <rPr>
        <rFont val="Arial"/>
        <color rgb="FF000000"/>
        <sz val="10.0"/>
      </rPr>
      <t xml:space="preserve">1.20 - 0.015 </t>
    </r>
    <r>
      <rPr>
        <rFont val="Symbol"/>
        <i/>
        <color rgb="FF000000"/>
        <sz val="10.0"/>
      </rPr>
      <t>f =</t>
    </r>
  </si>
  <si>
    <r>
      <rPr>
        <rFont val="Arial"/>
        <color rgb="FF000000"/>
        <sz val="10.0"/>
      </rPr>
      <t xml:space="preserve">1.4/(1.20 - 0.015 </t>
    </r>
    <r>
      <rPr>
        <rFont val="Symbol"/>
        <i/>
        <color rgb="FF000000"/>
        <sz val="10.0"/>
      </rPr>
      <t>f</t>
    </r>
    <r>
      <rPr>
        <rFont val="Arial"/>
        <color rgb="FF000000"/>
        <sz val="10.0"/>
      </rPr>
      <t>) =</t>
    </r>
  </si>
  <si>
    <t>SPT data in accordance with clause 5.8.2</t>
  </si>
  <si>
    <r>
      <rPr>
        <rFont val="Arial"/>
        <color rgb="FF000000"/>
        <sz val="10.0"/>
      </rPr>
      <t xml:space="preserve">0.93 - 0.015 </t>
    </r>
    <r>
      <rPr>
        <rFont val="Symbol"/>
        <i/>
        <color rgb="FF000000"/>
        <sz val="10.0"/>
      </rPr>
      <t xml:space="preserve">f </t>
    </r>
    <r>
      <rPr>
        <rFont val="Arial"/>
        <i/>
        <color rgb="FF000000"/>
        <sz val="10.0"/>
      </rPr>
      <t>=</t>
    </r>
  </si>
  <si>
    <r>
      <rPr>
        <rFont val="Arial"/>
        <color rgb="FF000000"/>
        <sz val="10.0"/>
      </rPr>
      <t>1.4/(0.93 - 0.015</t>
    </r>
    <r>
      <rPr>
        <rFont val="Symbol"/>
        <color rgb="FF000000"/>
        <sz val="10.0"/>
      </rPr>
      <t xml:space="preserve"> </t>
    </r>
    <r>
      <rPr>
        <rFont val="Symbol"/>
        <i/>
        <color rgb="FF000000"/>
        <sz val="10.0"/>
      </rPr>
      <t>f</t>
    </r>
    <r>
      <rPr>
        <rFont val="Arial"/>
        <color rgb="FF000000"/>
        <sz val="10.0"/>
      </rPr>
      <t>) =</t>
    </r>
  </si>
  <si>
    <t>CPT data in accordance with clause 5.8.3</t>
  </si>
  <si>
    <r>
      <rPr>
        <rFont val="Arial"/>
        <color rgb="FF000000"/>
        <sz val="10.0"/>
      </rPr>
      <t xml:space="preserve">1.07 - 0.015 </t>
    </r>
    <r>
      <rPr>
        <rFont val="Symbol"/>
        <i/>
        <color rgb="FF000000"/>
        <sz val="10.0"/>
      </rPr>
      <t xml:space="preserve">f </t>
    </r>
    <r>
      <rPr>
        <rFont val="Arial"/>
        <i/>
        <color rgb="FF000000"/>
        <sz val="10.0"/>
      </rPr>
      <t>=</t>
    </r>
  </si>
  <si>
    <r>
      <rPr>
        <rFont val="Arial"/>
        <color rgb="FF000000"/>
        <sz val="10.0"/>
      </rPr>
      <t>1.4/(1.07 - 0.015</t>
    </r>
    <r>
      <rPr>
        <rFont val="Symbol"/>
        <color rgb="FF000000"/>
        <sz val="10.0"/>
      </rPr>
      <t xml:space="preserve"> </t>
    </r>
    <r>
      <rPr>
        <rFont val="Symbol"/>
        <i/>
        <color rgb="FF000000"/>
        <sz val="10.0"/>
      </rPr>
      <t>f</t>
    </r>
    <r>
      <rPr>
        <rFont val="Arial"/>
        <color rgb="FF000000"/>
        <sz val="10.0"/>
      </rPr>
      <t>) =</t>
    </r>
  </si>
  <si>
    <t>ASAE EP486.3 Table 1</t>
  </si>
  <si>
    <r>
      <rPr>
        <rFont val="Arial"/>
        <color rgb="FF000000"/>
        <sz val="10.0"/>
      </rPr>
      <t xml:space="preserve">0.87 - 0.015 </t>
    </r>
    <r>
      <rPr>
        <rFont val="Symbol"/>
        <i/>
        <color rgb="FF000000"/>
        <sz val="10.0"/>
      </rPr>
      <t>f</t>
    </r>
    <r>
      <rPr>
        <rFont val="Arial"/>
        <i/>
        <color rgb="FF000000"/>
        <sz val="10.0"/>
      </rPr>
      <t xml:space="preserve"> =</t>
    </r>
  </si>
  <si>
    <r>
      <rPr>
        <rFont val="Arial"/>
        <color rgb="FF000000"/>
        <sz val="10.0"/>
      </rPr>
      <t xml:space="preserve">1.4/(0.87 - 0.015 </t>
    </r>
    <r>
      <rPr>
        <rFont val="Symbol"/>
        <i/>
        <color rgb="FF000000"/>
        <sz val="10.0"/>
      </rPr>
      <t>f</t>
    </r>
    <r>
      <rPr>
        <rFont val="Arial"/>
        <color rgb="FF000000"/>
        <sz val="10.0"/>
      </rPr>
      <t>) =</t>
    </r>
  </si>
  <si>
    <t>ASAE EP486.3 Table 1 with soil type verified by construction testing</t>
  </si>
  <si>
    <r>
      <rPr>
        <rFont val="Arial"/>
        <color rgb="FF000000"/>
        <sz val="10.0"/>
      </rPr>
      <t xml:space="preserve">1.16 - 0.015 </t>
    </r>
    <r>
      <rPr>
        <rFont val="Symbol"/>
        <i/>
        <color rgb="FF000000"/>
        <sz val="10.0"/>
      </rPr>
      <t>f</t>
    </r>
    <r>
      <rPr>
        <rFont val="Arial"/>
        <i/>
        <color rgb="FF000000"/>
        <sz val="10.0"/>
      </rPr>
      <t xml:space="preserve"> =</t>
    </r>
  </si>
  <si>
    <r>
      <rPr>
        <rFont val="Arial"/>
        <color rgb="FF000000"/>
        <sz val="10.0"/>
      </rPr>
      <t xml:space="preserve">1.4/(1.16 - 0.015 </t>
    </r>
    <r>
      <rPr>
        <rFont val="Symbol"/>
        <i/>
        <color rgb="FF000000"/>
        <sz val="10.0"/>
      </rPr>
      <t>f</t>
    </r>
    <r>
      <rPr>
        <rFont val="Arial"/>
        <color rgb="FF000000"/>
        <sz val="10.0"/>
      </rPr>
      <t>) =</t>
    </r>
  </si>
  <si>
    <r>
      <rPr>
        <rFont val="Arial"/>
        <color rgb="FF000000"/>
        <sz val="10.0"/>
      </rPr>
      <t xml:space="preserve">Undrained shear strength </t>
    </r>
    <r>
      <rPr>
        <rFont val="Arial"/>
        <i/>
        <color rgb="FF000000"/>
        <sz val="10.0"/>
      </rPr>
      <t>S</t>
    </r>
    <r>
      <rPr>
        <rFont val="Arial"/>
        <i/>
        <color rgb="FF000000"/>
        <sz val="10.0"/>
        <vertAlign val="subscript"/>
      </rPr>
      <t>U</t>
    </r>
    <r>
      <rPr>
        <rFont val="Arial"/>
        <color rgb="FF000000"/>
        <sz val="10.0"/>
      </rPr>
      <t xml:space="preserve"> for use in the equation of clause 12.5.2</t>
    </r>
  </si>
  <si>
    <t>Laboratory compression tests (see clause 5.7.1)</t>
  </si>
  <si>
    <t>PBPMT data in accordance with clause 5.7.2</t>
  </si>
  <si>
    <t>CPT data in accordance with clause 5.7.3</t>
  </si>
  <si>
    <t>In-situ vane tests in accordance with clause 5.7.4</t>
  </si>
  <si>
    <r>
      <rPr>
        <rFont val="Arial"/>
        <color rgb="FF000000"/>
        <sz val="10.0"/>
      </rPr>
      <t>(a)</t>
    </r>
    <r>
      <rPr>
        <rFont val="Arial"/>
        <color rgb="FF000000"/>
        <sz val="10.0"/>
      </rPr>
      <t xml:space="preserve"> Clause numbers refer to section numbers in ASAE EP 486.3</t>
    </r>
  </si>
  <si>
    <r>
      <rPr>
        <rFont val="Arial"/>
        <color rgb="FF000000"/>
        <sz val="10.0"/>
      </rPr>
      <t xml:space="preserve">(b) </t>
    </r>
    <r>
      <rPr>
        <rFont val="Arial"/>
        <color rgb="FF000000"/>
        <sz val="10.0"/>
      </rPr>
      <t>In all cases,</t>
    </r>
    <r>
      <rPr>
        <rFont val="Arial"/>
        <color rgb="FF000000"/>
        <sz val="10.0"/>
        <vertAlign val="superscript"/>
      </rPr>
      <t xml:space="preserve"> </t>
    </r>
    <r>
      <rPr>
        <rFont val="Arial"/>
        <i/>
        <color rgb="FF000000"/>
        <sz val="10.0"/>
      </rPr>
      <t>R</t>
    </r>
    <r>
      <rPr>
        <rFont val="Arial"/>
        <i/>
        <color rgb="FF000000"/>
        <sz val="10.0"/>
        <vertAlign val="subscript"/>
      </rPr>
      <t xml:space="preserve">U </t>
    </r>
    <r>
      <rPr>
        <rFont val="Arial"/>
        <color rgb="FF000000"/>
        <sz val="10.0"/>
      </rPr>
      <t xml:space="preserve">is limited to a maximum value of 0.93 and </t>
    </r>
    <r>
      <rPr>
        <rFont val="Arial"/>
        <i/>
        <color rgb="FF000000"/>
        <sz val="10.0"/>
      </rPr>
      <t>f</t>
    </r>
    <r>
      <rPr>
        <rFont val="Arial"/>
        <i/>
        <color rgb="FF000000"/>
        <sz val="10.0"/>
        <vertAlign val="subscript"/>
      </rPr>
      <t>U</t>
    </r>
    <r>
      <rPr>
        <rFont val="Arial"/>
        <color rgb="FF000000"/>
        <sz val="10.0"/>
      </rPr>
      <t xml:space="preserve"> is limited to a minimum value of 1.50.</t>
    </r>
  </si>
  <si>
    <r>
      <rPr>
        <rFont val="Arial"/>
        <color theme="1"/>
        <sz val="10.0"/>
      </rPr>
      <t>(c)</t>
    </r>
    <r>
      <rPr>
        <rFont val="Arial"/>
        <color theme="1"/>
        <sz val="10.0"/>
      </rPr>
      <t xml:space="preserve"> For buildings and other structures that represent a low risk to humans in the event of a failure. </t>
    </r>
    <r>
      <rPr>
        <rFont val="Arial"/>
        <i/>
        <color theme="1"/>
        <sz val="10.0"/>
      </rPr>
      <t>R</t>
    </r>
    <r>
      <rPr>
        <rFont val="Arial"/>
        <i/>
        <color theme="1"/>
        <sz val="10.0"/>
        <vertAlign val="subscript"/>
      </rPr>
      <t>U</t>
    </r>
    <r>
      <rPr>
        <rFont val="Arial"/>
        <color theme="1"/>
        <sz val="10.0"/>
      </rPr>
      <t xml:space="preserve"> values increased by 25% and </t>
    </r>
    <r>
      <rPr>
        <rFont val="Arial"/>
        <i/>
        <color theme="1"/>
        <sz val="10.0"/>
      </rPr>
      <t>f</t>
    </r>
    <r>
      <rPr>
        <rFont val="Arial"/>
        <i/>
        <color theme="1"/>
        <sz val="10.0"/>
        <vertAlign val="subscript"/>
      </rPr>
      <t>U</t>
    </r>
    <r>
      <rPr>
        <rFont val="Arial"/>
        <color theme="1"/>
        <sz val="10.0"/>
      </rPr>
      <t xml:space="preserve"> values reduced by 20%</t>
    </r>
  </si>
  <si>
    <t>Foundation Mass Estimator</t>
  </si>
  <si>
    <t>Component ID</t>
  </si>
  <si>
    <t>Component Description</t>
  </si>
  <si>
    <r>
      <rPr>
        <rFont val="Arial"/>
        <color theme="1"/>
        <sz val="10.0"/>
      </rPr>
      <t xml:space="preserve">Component mass density </t>
    </r>
    <r>
      <rPr>
        <rFont val="Arial"/>
        <color theme="1"/>
        <sz val="10.0"/>
        <vertAlign val="superscript"/>
      </rPr>
      <t>(a)(b)</t>
    </r>
  </si>
  <si>
    <t>Round component dimensions</t>
  </si>
  <si>
    <t>Rectangular component dimensions</t>
  </si>
  <si>
    <t>Component Mass</t>
  </si>
  <si>
    <t>Length or thickness</t>
  </si>
  <si>
    <t>Diameter</t>
  </si>
  <si>
    <t>Length</t>
  </si>
  <si>
    <t>Width</t>
  </si>
  <si>
    <t>Depth</t>
  </si>
  <si>
    <r>
      <rPr>
        <rFont val="Arial"/>
        <color theme="1"/>
        <sz val="10.0"/>
      </rPr>
      <t>lbm/ft</t>
    </r>
    <r>
      <rPr>
        <rFont val="Arial"/>
        <color theme="1"/>
        <sz val="10.0"/>
        <vertAlign val="superscript"/>
      </rPr>
      <t>3</t>
    </r>
  </si>
  <si>
    <t>Wood Post</t>
  </si>
  <si>
    <t>Earth</t>
  </si>
  <si>
    <t>Center of Earth</t>
  </si>
  <si>
    <t>Concrete Footer</t>
  </si>
  <si>
    <t>Slab</t>
  </si>
  <si>
    <t>Steel</t>
  </si>
  <si>
    <t>Hardware</t>
  </si>
  <si>
    <t>Miscellaneous</t>
  </si>
  <si>
    <t>Sum</t>
  </si>
  <si>
    <r>
      <rPr>
        <rFont val="Arial"/>
        <color theme="1"/>
        <sz val="10.0"/>
      </rPr>
      <t>(a)</t>
    </r>
    <r>
      <rPr>
        <rFont val="Arial"/>
        <color theme="1"/>
        <sz val="10.0"/>
      </rPr>
      <t xml:space="preserve"> Common mass densities: Concrete = 150 lbm/ft</t>
    </r>
    <r>
      <rPr>
        <rFont val="Arial"/>
        <color theme="1"/>
        <sz val="10.0"/>
        <vertAlign val="superscript"/>
      </rPr>
      <t>3</t>
    </r>
    <r>
      <rPr>
        <rFont val="Arial"/>
        <color theme="1"/>
        <sz val="10.0"/>
      </rPr>
      <t>; Steel = 490 lbm/ft</t>
    </r>
    <r>
      <rPr>
        <rFont val="Arial"/>
        <color theme="1"/>
        <sz val="10.0"/>
        <vertAlign val="superscript"/>
      </rPr>
      <t>3</t>
    </r>
    <r>
      <rPr>
        <rFont val="Arial"/>
        <color theme="1"/>
        <sz val="10.0"/>
      </rPr>
      <t>; HDPE Plastic = 60 lbm/ft</t>
    </r>
    <r>
      <rPr>
        <rFont val="Arial"/>
        <color theme="1"/>
        <sz val="10.0"/>
        <vertAlign val="superscript"/>
      </rPr>
      <t>3</t>
    </r>
    <r>
      <rPr>
        <rFont val="Arial"/>
        <color theme="1"/>
        <sz val="10.0"/>
      </rPr>
      <t>; 0.55 SG Wood = 34 lbm/ft</t>
    </r>
    <r>
      <rPr>
        <rFont val="Arial"/>
        <color theme="1"/>
        <sz val="10.0"/>
        <vertAlign val="superscript"/>
      </rPr>
      <t>3</t>
    </r>
  </si>
  <si>
    <r>
      <rPr>
        <rFont val="Arial"/>
        <color theme="1"/>
        <sz val="10.0"/>
      </rPr>
      <t>(b)</t>
    </r>
    <r>
      <rPr>
        <rFont val="Arial"/>
        <color theme="1"/>
        <sz val="10.0"/>
      </rPr>
      <t xml:space="preserve"> Enter a negative value for density to subtract a quantity from the total</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</si>
</sst>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
    <numFmt numFmtId="165" formatCode="0.0"/>
    <numFmt numFmtId="166" formatCode="0.0000"/>
  </numFmts>
  <fonts count="39">
    <font>
      <sz val="10.0"/>
      <color rgb="FF000000"/>
      <name val="Calibri"/>
      <scheme val="minor"/>
    </font>
    <font>
      <b/>
      <sz val="14.0"/>
      <color rgb="FFFFFFFF"/>
      <name val="Arial"/>
    </font>
    <font/>
    <font>
      <sz val="10.0"/>
      <color theme="1"/>
      <name val="Arial"/>
    </font>
    <font>
      <b/>
      <sz val="10.0"/>
      <color theme="1"/>
      <name val="Arial"/>
    </font>
    <font>
      <b/>
      <sz val="12.0"/>
      <color theme="1"/>
      <name val="Arial"/>
    </font>
    <font>
      <i/>
      <sz val="10.0"/>
      <color theme="1"/>
      <name val="Arial"/>
    </font>
    <font>
      <i/>
      <sz val="10.0"/>
      <color theme="1"/>
      <name val="Noto Sans Symbols"/>
    </font>
    <font>
      <b/>
      <sz val="12.0"/>
      <color rgb="FFFFFFFF"/>
      <name val="Arial"/>
    </font>
    <font>
      <sz val="10.0"/>
      <color rgb="FF000000"/>
      <name val="Arial"/>
    </font>
    <font>
      <b/>
      <sz val="10.0"/>
      <color rgb="FF000000"/>
      <name val="Arial"/>
    </font>
    <font>
      <i/>
      <sz val="9.0"/>
      <color rgb="FF000000"/>
      <name val="Arial"/>
    </font>
    <font>
      <sz val="9.0"/>
      <color rgb="FF000000"/>
      <name val="Arial"/>
    </font>
    <font>
      <vertAlign val="superscript"/>
      <sz val="10.0"/>
      <color rgb="FF000000"/>
      <name val="Arial"/>
    </font>
    <font>
      <vertAlign val="superscript"/>
      <sz val="10.0"/>
      <color rgb="FF000000"/>
      <name val="Arial"/>
    </font>
    <font>
      <vertAlign val="superscript"/>
      <sz val="10.0"/>
      <color theme="1"/>
      <name val="Arial"/>
    </font>
    <font>
      <b/>
      <i/>
      <sz val="12.0"/>
      <color rgb="FFFFFFFF"/>
      <name val="Arial"/>
    </font>
    <font>
      <sz val="12.0"/>
      <color theme="1"/>
      <name val="Arial"/>
    </font>
    <font>
      <sz val="11.0"/>
      <color theme="1"/>
      <name val="Calibri"/>
    </font>
    <font>
      <b/>
      <sz val="16.0"/>
      <color theme="1"/>
      <name val="Calibri"/>
    </font>
    <font>
      <b/>
      <sz val="14.0"/>
      <color theme="1"/>
      <name val="Calibri"/>
      <scheme val="minor"/>
    </font>
    <font>
      <b/>
      <sz val="12.0"/>
      <color theme="1"/>
      <name val="Calibri"/>
      <scheme val="minor"/>
    </font>
    <font>
      <color theme="1"/>
      <name val="Calibri"/>
      <scheme val="minor"/>
    </font>
    <font>
      <color rgb="FF000000"/>
      <name val="Calibri"/>
      <scheme val="minor"/>
    </font>
    <font>
      <b/>
      <sz val="11.0"/>
      <color theme="1"/>
      <name val="Arial"/>
    </font>
    <font>
      <b/>
      <i/>
      <sz val="10.0"/>
      <color theme="1"/>
      <name val="Arial"/>
    </font>
    <font>
      <vertAlign val="superscript"/>
      <sz val="10.0"/>
      <color rgb="FF000000"/>
      <name val="Arial"/>
    </font>
    <font>
      <vertAlign val="superscript"/>
      <sz val="10.0"/>
      <color rgb="FF000000"/>
      <name val="Arial"/>
    </font>
    <font>
      <vertAlign val="superscript"/>
      <sz val="10.0"/>
      <color rgb="FF000000"/>
      <name val="Arial"/>
    </font>
    <font>
      <color theme="1"/>
      <name val="Arial"/>
    </font>
    <font>
      <i/>
      <color theme="1"/>
      <name val="Calibri"/>
      <scheme val="minor"/>
    </font>
    <font>
      <b/>
      <sz val="11.0"/>
      <color rgb="FF000000"/>
      <name val="Inconsolata"/>
    </font>
    <font>
      <sz val="10.0"/>
      <color rgb="FFFFFFFF"/>
      <name val="Arial"/>
    </font>
    <font>
      <vertAlign val="superscript"/>
      <sz val="10.0"/>
      <color theme="1"/>
      <name val="Arial"/>
    </font>
    <font>
      <vertAlign val="superscript"/>
      <sz val="10.0"/>
      <color rgb="FF000000"/>
      <name val="Arial"/>
    </font>
    <font>
      <vertAlign val="superscript"/>
      <sz val="10.0"/>
      <color theme="1"/>
      <name val="Arial"/>
    </font>
    <font>
      <i/>
      <sz val="10.0"/>
      <color rgb="FF000000"/>
      <name val="Arial"/>
    </font>
    <font>
      <sz val="12.0"/>
      <color rgb="FFFFFFFF"/>
      <name val="Arial"/>
    </font>
    <font>
      <vertAlign val="superscript"/>
      <sz val="10.0"/>
      <color theme="1"/>
      <name val="Arial"/>
    </font>
  </fonts>
  <fills count="10">
    <fill>
      <patternFill patternType="none"/>
    </fill>
    <fill>
      <patternFill patternType="lightGray"/>
    </fill>
    <fill>
      <patternFill patternType="solid">
        <fgColor rgb="FF000000"/>
        <bgColor rgb="FF000000"/>
      </patternFill>
    </fill>
    <fill>
      <patternFill patternType="solid">
        <fgColor rgb="FFCCFFFF"/>
        <bgColor rgb="FFCCFFFF"/>
      </patternFill>
    </fill>
    <fill>
      <patternFill patternType="solid">
        <fgColor rgb="FFCCFFCC"/>
        <bgColor rgb="FFCCFFCC"/>
      </patternFill>
    </fill>
    <fill>
      <patternFill patternType="solid">
        <fgColor rgb="FFFFFF00"/>
        <bgColor rgb="FFFFFF00"/>
      </patternFill>
    </fill>
    <fill>
      <patternFill patternType="solid">
        <fgColor rgb="FFFFCC99"/>
        <bgColor rgb="FFFFCC99"/>
      </patternFill>
    </fill>
    <fill>
      <patternFill patternType="solid">
        <fgColor rgb="FFFF99CC"/>
        <bgColor rgb="FFFF99CC"/>
      </patternFill>
    </fill>
    <fill>
      <patternFill patternType="solid">
        <fgColor rgb="FFFFFFFF"/>
        <bgColor rgb="FFFFFFFF"/>
      </patternFill>
    </fill>
    <fill>
      <patternFill patternType="solid">
        <fgColor theme="0"/>
        <bgColor theme="0"/>
      </patternFill>
    </fill>
  </fills>
  <borders count="4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top/>
      <bottom/>
    </border>
    <border>
      <top/>
      <bottom/>
    </border>
    <border>
      <right/>
      <top/>
      <bottom/>
    </border>
    <border>
      <left style="thin">
        <color rgb="FF000000"/>
      </left>
      <right style="thin">
        <color rgb="FF000000"/>
      </right>
      <top style="thin">
        <color rgb="FF000000"/>
      </top>
      <bottom style="thin">
        <color rgb="FF000000"/>
      </bottom>
    </border>
    <border>
      <left style="thin">
        <color rgb="FF000000"/>
      </left>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bottom style="thin">
        <color rgb="FF000000"/>
      </bottom>
    </border>
    <border>
      <left/>
      <right/>
      <top/>
      <bottom style="thin">
        <color rgb="FF000000"/>
      </bottom>
    </border>
    <border>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border>
    <border>
      <left style="thin">
        <color rgb="FF000000"/>
      </left>
      <right style="thin">
        <color rgb="FF000000"/>
      </right>
      <top/>
      <bottom/>
    </border>
    <border>
      <left style="thin">
        <color rgb="FF000000"/>
      </left>
      <right/>
      <top/>
      <bottom/>
    </border>
    <border>
      <left style="thin">
        <color rgb="FF000000"/>
      </left>
      <right/>
      <top style="thin">
        <color rgb="FF000000"/>
      </top>
      <bottom/>
    </border>
    <border>
      <left style="thin">
        <color rgb="FF000000"/>
      </left>
      <right style="thin">
        <color rgb="FF000000"/>
      </right>
    </border>
    <border>
      <left style="thin">
        <color rgb="FF000000"/>
      </left>
      <right/>
      <top style="thin">
        <color rgb="FF000000"/>
      </top>
      <bottom style="thin">
        <color rgb="FF000000"/>
      </bottom>
    </border>
    <border>
      <left style="thin">
        <color rgb="FF000000"/>
      </left>
      <top style="thin">
        <color rgb="FF000000"/>
      </top>
    </border>
    <border>
      <right style="thin">
        <color rgb="FF000000"/>
      </right>
      <top style="thin">
        <color rgb="FF000000"/>
      </top>
    </border>
    <border>
      <right style="thin">
        <color rgb="FF000000"/>
      </right>
    </border>
    <border>
      <left style="thin">
        <color rgb="FF000000"/>
      </left>
      <bottom style="thin">
        <color rgb="FF000000"/>
      </bottom>
    </border>
    <border>
      <right style="thin">
        <color rgb="FF000000"/>
      </right>
      <bottom style="thin">
        <color rgb="FF000000"/>
      </bottom>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bottom style="thin">
        <color rgb="FF000000"/>
      </bottom>
    </border>
    <border>
      <bottom style="medium">
        <color rgb="FF000000"/>
      </bottom>
    </border>
    <border>
      <right style="medium">
        <color rgb="FF000000"/>
      </right>
    </border>
    <border>
      <right style="medium">
        <color rgb="FF000000"/>
      </right>
      <bottom style="thin">
        <color rgb="FF000000"/>
      </bottom>
    </border>
    <border>
      <right style="medium">
        <color rgb="FF000000"/>
      </right>
      <top style="thin">
        <color rgb="FF000000"/>
      </top>
      <bottom style="thin">
        <color rgb="FF000000"/>
      </bottom>
    </border>
    <border>
      <right style="medium">
        <color rgb="FF000000"/>
      </right>
      <bottom style="medium">
        <color rgb="FF000000"/>
      </bottom>
    </border>
    <border>
      <left/>
      <right/>
      <top/>
      <bottom/>
    </border>
    <border>
      <left style="thin">
        <color rgb="FF000000"/>
      </left>
      <right/>
      <top style="thin">
        <color rgb="FF000000"/>
      </top>
    </border>
    <border>
      <left/>
      <right style="thin">
        <color rgb="FF000000"/>
      </right>
      <top style="thin">
        <color rgb="FF000000"/>
      </top>
    </border>
    <border>
      <left/>
      <top style="thin">
        <color rgb="FF000000"/>
      </top>
      <bottom style="thin">
        <color rgb="FF000000"/>
      </bottom>
    </border>
    <border>
      <left style="thin">
        <color rgb="FF000000"/>
      </left>
      <right/>
    </border>
    <border>
      <left/>
      <right style="thin">
        <color rgb="FF000000"/>
      </right>
    </border>
    <border>
      <left style="thin">
        <color rgb="FF000000"/>
      </left>
      <right style="thin">
        <color rgb="FF000000"/>
      </right>
      <bottom/>
    </border>
    <border>
      <left style="thin">
        <color rgb="FF000000"/>
      </left>
      <right/>
      <bottom style="thin">
        <color rgb="FF000000"/>
      </bottom>
    </border>
    <border>
      <left/>
      <right style="thin">
        <color rgb="FF000000"/>
      </right>
      <bottom style="thin">
        <color rgb="FF000000"/>
      </bottom>
    </border>
  </borders>
  <cellStyleXfs count="1">
    <xf borderId="0" fillId="0" fontId="0" numFmtId="0" applyAlignment="1" applyFont="1"/>
  </cellStyleXfs>
  <cellXfs count="32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0" fontId="2" numFmtId="0" xfId="0" applyBorder="1" applyFont="1"/>
    <xf borderId="3" fillId="0" fontId="2" numFmtId="0" xfId="0" applyBorder="1" applyFont="1"/>
    <xf borderId="1" fillId="0" fontId="3" numFmtId="0" xfId="0" applyAlignment="1" applyBorder="1" applyFont="1">
      <alignment horizontal="left" shrinkToFit="0" vertical="center" wrapText="1"/>
    </xf>
    <xf borderId="4" fillId="0" fontId="3" numFmtId="0" xfId="0" applyAlignment="1" applyBorder="1" applyFont="1">
      <alignment horizontal="left" shrinkToFit="0" vertical="center" wrapText="1"/>
    </xf>
    <xf borderId="4" fillId="0" fontId="2" numFmtId="0" xfId="0" applyBorder="1" applyFont="1"/>
    <xf borderId="5" fillId="2" fontId="1" numFmtId="0" xfId="0" applyAlignment="1" applyBorder="1" applyFont="1">
      <alignment horizontal="left" shrinkToFit="0" vertical="center" wrapText="1"/>
    </xf>
    <xf borderId="6" fillId="0" fontId="2" numFmtId="0" xfId="0" applyBorder="1" applyFont="1"/>
    <xf borderId="7" fillId="0" fontId="2" numFmtId="0" xfId="0" applyBorder="1" applyFont="1"/>
    <xf borderId="1" fillId="3" fontId="4" numFmtId="0" xfId="0" applyAlignment="1" applyBorder="1" applyFill="1" applyFont="1">
      <alignment horizontal="center" vertical="center"/>
    </xf>
    <xf borderId="8" fillId="3" fontId="4" numFmtId="0" xfId="0" applyAlignment="1" applyBorder="1" applyFont="1">
      <alignment horizontal="center" vertical="center"/>
    </xf>
    <xf borderId="1" fillId="3" fontId="3" numFmtId="0" xfId="0" applyAlignment="1" applyBorder="1" applyFont="1">
      <alignment horizontal="center" shrinkToFit="0" vertical="center" wrapText="1"/>
    </xf>
    <xf borderId="8" fillId="0" fontId="3" numFmtId="0" xfId="0" applyAlignment="1" applyBorder="1" applyFont="1">
      <alignment horizontal="left" shrinkToFit="0" vertical="center" wrapText="1"/>
    </xf>
    <xf borderId="1" fillId="4" fontId="3" numFmtId="0" xfId="0" applyAlignment="1" applyBorder="1" applyFill="1" applyFont="1">
      <alignment horizontal="center" vertical="center"/>
    </xf>
    <xf borderId="8" fillId="0" fontId="3" numFmtId="0" xfId="0" applyAlignment="1" applyBorder="1" applyFont="1">
      <alignment horizontal="left" vertical="center"/>
    </xf>
    <xf borderId="1" fillId="5" fontId="3" numFmtId="0" xfId="0" applyAlignment="1" applyBorder="1" applyFill="1" applyFont="1">
      <alignment horizontal="center" vertical="center"/>
    </xf>
    <xf borderId="1" fillId="6" fontId="3" numFmtId="0" xfId="0" applyAlignment="1" applyBorder="1" applyFill="1" applyFont="1">
      <alignment horizontal="center" vertical="center"/>
    </xf>
    <xf borderId="1" fillId="7" fontId="3" numFmtId="0" xfId="0" applyAlignment="1" applyBorder="1" applyFill="1" applyFont="1">
      <alignment horizontal="center" vertical="center"/>
    </xf>
    <xf borderId="1" fillId="0" fontId="3" numFmtId="0" xfId="0" applyAlignment="1" applyBorder="1" applyFont="1">
      <alignment horizontal="center" vertical="center"/>
    </xf>
    <xf borderId="0" fillId="0" fontId="3" numFmtId="0" xfId="0" applyAlignment="1" applyFont="1">
      <alignment horizontal="left" vertical="center"/>
    </xf>
    <xf borderId="0" fillId="0" fontId="3" numFmtId="0" xfId="0" applyAlignment="1" applyFont="1">
      <alignment vertical="center"/>
    </xf>
    <xf borderId="9" fillId="0" fontId="3" numFmtId="0" xfId="0" applyAlignment="1" applyBorder="1" applyFont="1">
      <alignment horizontal="left" shrinkToFit="0" vertical="center" wrapText="1"/>
    </xf>
    <xf borderId="4" fillId="0" fontId="3" numFmtId="0" xfId="0" applyAlignment="1" applyBorder="1" applyFont="1">
      <alignment horizontal="left"/>
    </xf>
    <xf borderId="10" fillId="2" fontId="1" numFmtId="0" xfId="0" applyAlignment="1" applyBorder="1" applyFont="1">
      <alignment horizontal="left"/>
    </xf>
    <xf borderId="11" fillId="0" fontId="2" numFmtId="0" xfId="0" applyBorder="1" applyFont="1"/>
    <xf borderId="12" fillId="0" fontId="2" numFmtId="0" xfId="0" applyBorder="1" applyFont="1"/>
    <xf borderId="8" fillId="3" fontId="4" numFmtId="0" xfId="0" applyAlignment="1" applyBorder="1" applyFont="1">
      <alignment horizontal="center" shrinkToFit="0" wrapText="1"/>
    </xf>
    <xf borderId="8" fillId="3" fontId="4" numFmtId="0" xfId="0" applyAlignment="1" applyBorder="1" applyFont="1">
      <alignment horizontal="center" shrinkToFit="0" vertical="top" wrapText="1"/>
    </xf>
    <xf borderId="8" fillId="0" fontId="3" numFmtId="0" xfId="0" applyAlignment="1" applyBorder="1" applyFont="1">
      <alignment horizontal="center" shrinkToFit="0" vertical="center" wrapText="1"/>
    </xf>
    <xf borderId="0" fillId="0" fontId="3" numFmtId="0" xfId="0" applyAlignment="1" applyFont="1">
      <alignment horizontal="left"/>
    </xf>
    <xf borderId="0" fillId="0" fontId="3" numFmtId="0" xfId="0" applyFont="1"/>
    <xf borderId="1" fillId="2" fontId="1" numFmtId="0" xfId="0" applyAlignment="1" applyBorder="1" applyFont="1">
      <alignment horizontal="left" vertical="center"/>
    </xf>
    <xf borderId="1" fillId="3" fontId="4" numFmtId="0" xfId="0" applyAlignment="1" applyBorder="1" applyFont="1">
      <alignment horizontal="center" shrinkToFit="0" vertical="center" wrapText="1"/>
    </xf>
    <xf borderId="8" fillId="0" fontId="3" numFmtId="0" xfId="0" applyAlignment="1" applyBorder="1" applyFont="1">
      <alignment horizontal="left" shrinkToFit="0" vertical="top" wrapText="1"/>
    </xf>
    <xf borderId="0" fillId="0" fontId="3" numFmtId="0" xfId="0" applyAlignment="1" applyFont="1">
      <alignment shrinkToFit="0" wrapText="1"/>
    </xf>
    <xf borderId="0" fillId="0" fontId="3" numFmtId="0" xfId="0" applyAlignment="1" applyFont="1">
      <alignment horizontal="left" shrinkToFit="0" wrapText="1"/>
    </xf>
    <xf borderId="0" fillId="0" fontId="3" numFmtId="0" xfId="0" applyAlignment="1" applyFont="1">
      <alignment horizontal="center" vertical="center"/>
    </xf>
    <xf borderId="4" fillId="0" fontId="3" numFmtId="0" xfId="0" applyAlignment="1" applyBorder="1" applyFont="1">
      <alignment horizontal="left" shrinkToFit="0" wrapText="1"/>
    </xf>
    <xf borderId="1" fillId="2" fontId="1" numFmtId="0" xfId="0" applyAlignment="1" applyBorder="1" applyFont="1">
      <alignment horizontal="left" shrinkToFit="0" wrapText="1"/>
    </xf>
    <xf borderId="1" fillId="0" fontId="3" numFmtId="0" xfId="0" applyAlignment="1" applyBorder="1" applyFont="1">
      <alignment horizontal="left" shrinkToFit="0" vertical="top" wrapText="1"/>
    </xf>
    <xf borderId="0" fillId="0" fontId="3" numFmtId="0" xfId="0" applyAlignment="1" applyFont="1">
      <alignment horizontal="center" shrinkToFit="0" vertical="center" wrapText="1"/>
    </xf>
    <xf borderId="0" fillId="0" fontId="5" numFmtId="0" xfId="0" applyAlignment="1" applyFont="1">
      <alignment horizontal="left" vertical="center"/>
    </xf>
    <xf borderId="8" fillId="0" fontId="4" numFmtId="0" xfId="0" applyAlignment="1" applyBorder="1" applyFont="1">
      <alignment horizontal="left" shrinkToFit="0" vertical="center" wrapText="1"/>
    </xf>
    <xf borderId="0" fillId="0" fontId="4" numFmtId="0" xfId="0" applyAlignment="1" applyFont="1">
      <alignment horizontal="left" shrinkToFit="0" vertical="center" wrapText="1"/>
    </xf>
    <xf borderId="0" fillId="0" fontId="3" numFmtId="0" xfId="0" applyAlignment="1" applyFont="1">
      <alignment horizontal="left" shrinkToFit="0" vertical="center" wrapText="1"/>
    </xf>
    <xf borderId="5" fillId="2" fontId="1" numFmtId="0" xfId="0" applyAlignment="1" applyBorder="1" applyFont="1">
      <alignment horizontal="left" vertical="center"/>
    </xf>
    <xf borderId="8" fillId="0" fontId="6" numFmtId="0" xfId="0" applyAlignment="1" applyBorder="1" applyFont="1">
      <alignment horizontal="right" shrinkToFit="0" vertical="center" wrapText="1"/>
    </xf>
    <xf borderId="8" fillId="0" fontId="6" numFmtId="0" xfId="0" applyAlignment="1" applyBorder="1" applyFont="1">
      <alignment horizontal="left" shrinkToFit="0" vertical="center" wrapText="1"/>
    </xf>
    <xf borderId="8" fillId="0" fontId="7" numFmtId="0" xfId="0" applyAlignment="1" applyBorder="1" applyFont="1">
      <alignment horizontal="right" shrinkToFit="0" vertical="center" wrapText="1"/>
    </xf>
    <xf borderId="0" fillId="0" fontId="3" numFmtId="0" xfId="0" applyAlignment="1" applyFont="1">
      <alignment horizontal="center"/>
    </xf>
    <xf borderId="5" fillId="2" fontId="8" numFmtId="0" xfId="0" applyAlignment="1" applyBorder="1" applyFont="1">
      <alignment horizontal="left" vertical="center"/>
    </xf>
    <xf borderId="13" fillId="0" fontId="4" numFmtId="0" xfId="0" applyAlignment="1" applyBorder="1" applyFont="1">
      <alignment horizontal="left" vertical="center"/>
    </xf>
    <xf borderId="13" fillId="0" fontId="2" numFmtId="0" xfId="0" applyBorder="1" applyFont="1"/>
    <xf borderId="13" fillId="0" fontId="9" numFmtId="0" xfId="0" applyAlignment="1" applyBorder="1" applyFont="1">
      <alignment horizontal="center" shrinkToFit="0" vertical="center" wrapText="1"/>
    </xf>
    <xf borderId="14" fillId="8" fontId="9" numFmtId="0" xfId="0" applyAlignment="1" applyBorder="1" applyFill="1" applyFont="1">
      <alignment horizontal="center" shrinkToFit="0" vertical="center" wrapText="1"/>
    </xf>
    <xf borderId="1" fillId="6" fontId="3" numFmtId="0" xfId="0" applyAlignment="1" applyBorder="1" applyFont="1">
      <alignment horizontal="right" shrinkToFit="0" vertical="center" wrapText="1"/>
    </xf>
    <xf borderId="15" fillId="0" fontId="2" numFmtId="0" xfId="0" applyBorder="1" applyFont="1"/>
    <xf borderId="16" fillId="5" fontId="9" numFmtId="0" xfId="0" applyAlignment="1" applyBorder="1" applyFont="1">
      <alignment horizontal="left" shrinkToFit="0" vertical="center" wrapText="1"/>
    </xf>
    <xf borderId="16" fillId="6" fontId="3" numFmtId="0" xfId="0" applyAlignment="1" applyBorder="1" applyFont="1">
      <alignment horizontal="center" shrinkToFit="0" vertical="center" wrapText="1"/>
    </xf>
    <xf borderId="17" fillId="6" fontId="3" numFmtId="0" xfId="0" applyAlignment="1" applyBorder="1" applyFont="1">
      <alignment horizontal="center" shrinkToFit="0" vertical="center" wrapText="1"/>
    </xf>
    <xf borderId="18" fillId="3" fontId="4" numFmtId="0" xfId="0" applyAlignment="1" applyBorder="1" applyFont="1">
      <alignment horizontal="center" vertical="center"/>
    </xf>
    <xf borderId="18" fillId="3" fontId="4" numFmtId="0" xfId="0" applyAlignment="1" applyBorder="1" applyFont="1">
      <alignment horizontal="center" shrinkToFit="0" vertical="center" wrapText="1"/>
    </xf>
    <xf borderId="1" fillId="3" fontId="10" numFmtId="0" xfId="0" applyAlignment="1" applyBorder="1" applyFont="1">
      <alignment horizontal="center" shrinkToFit="0" vertical="center" wrapText="1"/>
    </xf>
    <xf borderId="8" fillId="0" fontId="11" numFmtId="0" xfId="0" applyAlignment="1" applyBorder="1" applyFont="1">
      <alignment horizontal="center" vertical="center"/>
    </xf>
    <xf borderId="8" fillId="0" fontId="9" numFmtId="0" xfId="0" applyAlignment="1" applyBorder="1" applyFont="1">
      <alignment horizontal="left" vertical="center"/>
    </xf>
    <xf borderId="8" fillId="4" fontId="3" numFmtId="0" xfId="0" applyAlignment="1" applyBorder="1" applyFont="1">
      <alignment horizontal="center" vertical="center"/>
    </xf>
    <xf borderId="8" fillId="5" fontId="3" numFmtId="0" xfId="0" applyAlignment="1" applyBorder="1" applyFont="1">
      <alignment horizontal="center" vertical="center"/>
    </xf>
    <xf borderId="19" fillId="0" fontId="2" numFmtId="0" xfId="0" applyBorder="1" applyFont="1"/>
    <xf borderId="8" fillId="3" fontId="4" numFmtId="0" xfId="0" applyAlignment="1" applyBorder="1" applyFont="1">
      <alignment horizontal="center"/>
    </xf>
    <xf borderId="8" fillId="0" fontId="6" numFmtId="0" xfId="0" applyAlignment="1" applyBorder="1" applyFont="1">
      <alignment horizontal="center" vertical="center"/>
    </xf>
    <xf borderId="20" fillId="8" fontId="9" numFmtId="0" xfId="0" applyAlignment="1" applyBorder="1" applyFont="1">
      <alignment horizontal="center" shrinkToFit="0" vertical="center" wrapText="1"/>
    </xf>
    <xf borderId="21" fillId="8" fontId="9" numFmtId="0" xfId="0" applyAlignment="1" applyBorder="1" applyFont="1">
      <alignment horizontal="left" shrinkToFit="0" vertical="center" wrapText="1"/>
    </xf>
    <xf borderId="22" fillId="6" fontId="9" numFmtId="0" xfId="0" applyAlignment="1" applyBorder="1" applyFont="1">
      <alignment horizontal="right" shrinkToFit="0" vertical="center" wrapText="1"/>
    </xf>
    <xf borderId="17" fillId="6" fontId="9" numFmtId="2" xfId="0" applyAlignment="1" applyBorder="1" applyFont="1" applyNumberFormat="1">
      <alignment horizontal="left" shrinkToFit="0" vertical="center" wrapText="1"/>
    </xf>
    <xf borderId="8" fillId="6" fontId="9" numFmtId="2" xfId="0" applyAlignment="1" applyBorder="1" applyFont="1" applyNumberFormat="1">
      <alignment horizontal="center" shrinkToFit="0" vertical="center" wrapText="1"/>
    </xf>
    <xf borderId="23" fillId="6" fontId="9" numFmtId="0" xfId="0" applyAlignment="1" applyBorder="1" applyFont="1">
      <alignment horizontal="right" shrinkToFit="0" vertical="center" wrapText="1"/>
    </xf>
    <xf borderId="17" fillId="6" fontId="3" numFmtId="2" xfId="0" applyAlignment="1" applyBorder="1" applyFont="1" applyNumberFormat="1">
      <alignment horizontal="left" vertical="center"/>
    </xf>
    <xf borderId="17" fillId="6" fontId="3" numFmtId="2" xfId="0" applyAlignment="1" applyBorder="1" applyFont="1" applyNumberFormat="1">
      <alignment horizontal="center" vertical="center"/>
    </xf>
    <xf borderId="24" fillId="0" fontId="2" numFmtId="0" xfId="0" applyBorder="1" applyFont="1"/>
    <xf borderId="8" fillId="8" fontId="9" numFmtId="0" xfId="0" applyAlignment="1" applyBorder="1" applyFont="1">
      <alignment horizontal="left" shrinkToFit="0" vertical="center" wrapText="1"/>
    </xf>
    <xf borderId="25" fillId="6" fontId="9" numFmtId="0" xfId="0" applyAlignment="1" applyBorder="1" applyFont="1">
      <alignment horizontal="right" shrinkToFit="0" vertical="center" wrapText="1"/>
    </xf>
    <xf borderId="17" fillId="6" fontId="9" numFmtId="0" xfId="0" applyAlignment="1" applyBorder="1" applyFont="1">
      <alignment horizontal="left" shrinkToFit="0" vertical="center" wrapText="1"/>
    </xf>
    <xf borderId="8" fillId="0" fontId="3" numFmtId="0" xfId="0" applyAlignment="1" applyBorder="1" applyFont="1">
      <alignment horizontal="center"/>
    </xf>
    <xf borderId="8" fillId="0" fontId="6" numFmtId="0" xfId="0" applyAlignment="1" applyBorder="1" applyFont="1">
      <alignment horizontal="center"/>
    </xf>
    <xf borderId="8" fillId="0" fontId="12" numFmtId="0" xfId="0" applyAlignment="1" applyBorder="1" applyFont="1">
      <alignment horizontal="left" vertical="center"/>
    </xf>
    <xf borderId="8" fillId="8" fontId="9" numFmtId="0" xfId="0" applyAlignment="1" applyBorder="1" applyFont="1">
      <alignment horizontal="center" shrinkToFit="0" vertical="center" wrapText="1"/>
    </xf>
    <xf borderId="1" fillId="0" fontId="9" numFmtId="2" xfId="0" applyAlignment="1" applyBorder="1" applyFont="1" applyNumberFormat="1">
      <alignment horizontal="center" shrinkToFit="0" vertical="center" wrapText="1"/>
    </xf>
    <xf borderId="8" fillId="0" fontId="9" numFmtId="2" xfId="0" applyAlignment="1" applyBorder="1" applyFont="1" applyNumberFormat="1">
      <alignment horizontal="center" shrinkToFit="0" vertical="center" wrapText="1"/>
    </xf>
    <xf borderId="8" fillId="0" fontId="3" numFmtId="2" xfId="0" applyAlignment="1" applyBorder="1" applyFont="1" applyNumberFormat="1">
      <alignment horizontal="center"/>
    </xf>
    <xf borderId="8" fillId="6" fontId="3" numFmtId="1" xfId="0" applyAlignment="1" applyBorder="1" applyFont="1" applyNumberFormat="1">
      <alignment horizontal="center" vertical="center"/>
    </xf>
    <xf borderId="8" fillId="6" fontId="3" numFmtId="2" xfId="0" applyAlignment="1" applyBorder="1" applyFont="1" applyNumberFormat="1">
      <alignment horizontal="center" vertical="center"/>
    </xf>
    <xf borderId="18" fillId="8" fontId="9" numFmtId="0" xfId="0" applyAlignment="1" applyBorder="1" applyFont="1">
      <alignment horizontal="center" shrinkToFit="0" vertical="center" wrapText="1"/>
    </xf>
    <xf borderId="8" fillId="0" fontId="7" numFmtId="0" xfId="0" applyAlignment="1" applyBorder="1" applyFont="1">
      <alignment horizontal="center" vertical="center"/>
    </xf>
    <xf borderId="8" fillId="0" fontId="6" numFmtId="0" xfId="0" applyAlignment="1" applyBorder="1" applyFont="1">
      <alignment horizontal="left" vertical="center"/>
    </xf>
    <xf borderId="8" fillId="6" fontId="3" numFmtId="0" xfId="0" applyAlignment="1" applyBorder="1" applyFont="1">
      <alignment horizontal="center" vertical="center"/>
    </xf>
    <xf borderId="18" fillId="0" fontId="6" numFmtId="0" xfId="0" applyAlignment="1" applyBorder="1" applyFont="1">
      <alignment horizontal="center" vertical="center"/>
    </xf>
    <xf borderId="18" fillId="0" fontId="3" numFmtId="0" xfId="0" applyAlignment="1" applyBorder="1" applyFont="1">
      <alignment horizontal="left" shrinkToFit="0" vertical="center" wrapText="1"/>
    </xf>
    <xf borderId="18" fillId="4" fontId="3" numFmtId="0" xfId="0" applyAlignment="1" applyBorder="1" applyFont="1">
      <alignment horizontal="center" vertical="center"/>
    </xf>
    <xf borderId="18" fillId="6" fontId="3" numFmtId="164" xfId="0" applyAlignment="1" applyBorder="1" applyFont="1" applyNumberFormat="1">
      <alignment horizontal="center" vertical="center"/>
    </xf>
    <xf borderId="18" fillId="0" fontId="3" numFmtId="0" xfId="0" applyAlignment="1" applyBorder="1" applyFont="1">
      <alignment horizontal="left" vertical="center"/>
    </xf>
    <xf borderId="8" fillId="6" fontId="3" numFmtId="165" xfId="0" applyAlignment="1" applyBorder="1" applyFont="1" applyNumberFormat="1">
      <alignment horizontal="center" vertical="center"/>
    </xf>
    <xf borderId="26" fillId="0" fontId="13" numFmtId="0" xfId="0" applyAlignment="1" applyBorder="1" applyFont="1">
      <alignment horizontal="left" vertical="center"/>
    </xf>
    <xf borderId="27" fillId="0" fontId="2" numFmtId="0" xfId="0" applyBorder="1" applyFont="1"/>
    <xf borderId="1" fillId="0" fontId="4" numFmtId="0" xfId="0" applyAlignment="1" applyBorder="1" applyFont="1">
      <alignment horizontal="right" vertical="center"/>
    </xf>
    <xf borderId="8" fillId="7" fontId="4" numFmtId="0" xfId="0" applyAlignment="1" applyBorder="1" applyFont="1">
      <alignment horizontal="center" vertical="center"/>
    </xf>
    <xf borderId="9" fillId="0" fontId="14" numFmtId="0" xfId="0" applyAlignment="1" applyBorder="1" applyFont="1">
      <alignment horizontal="left" shrinkToFit="0" vertical="center" wrapText="1"/>
    </xf>
    <xf borderId="28" fillId="0" fontId="2" numFmtId="0" xfId="0" applyBorder="1" applyFont="1"/>
    <xf borderId="29" fillId="0" fontId="15" numFmtId="0" xfId="0" applyAlignment="1" applyBorder="1" applyFont="1">
      <alignment horizontal="left" vertical="center"/>
    </xf>
    <xf borderId="30" fillId="0" fontId="2" numFmtId="0" xfId="0" applyBorder="1" applyFont="1"/>
    <xf borderId="5" fillId="2" fontId="1" numFmtId="0" xfId="0" applyAlignment="1" applyBorder="1" applyFont="1">
      <alignment horizontal="left"/>
    </xf>
    <xf borderId="0" fillId="0" fontId="4" numFmtId="0" xfId="0" applyAlignment="1" applyFont="1">
      <alignment horizontal="left"/>
    </xf>
    <xf borderId="31" fillId="2" fontId="16" numFmtId="0" xfId="0" applyAlignment="1" applyBorder="1" applyFont="1">
      <alignment horizontal="left" vertical="center"/>
    </xf>
    <xf borderId="32" fillId="0" fontId="2" numFmtId="0" xfId="0" applyBorder="1" applyFont="1"/>
    <xf borderId="33" fillId="0" fontId="2" numFmtId="0" xfId="0" applyBorder="1" applyFont="1"/>
    <xf borderId="8" fillId="0" fontId="3" numFmtId="0" xfId="0" applyAlignment="1" applyBorder="1" applyFont="1">
      <alignment horizontal="center" vertical="center"/>
    </xf>
    <xf borderId="0" fillId="0" fontId="17" numFmtId="0" xfId="0" applyFont="1"/>
    <xf borderId="0" fillId="0" fontId="17" numFmtId="0" xfId="0" applyAlignment="1" applyFont="1">
      <alignment horizontal="center"/>
    </xf>
    <xf borderId="0" fillId="0" fontId="17" numFmtId="0" xfId="0" applyAlignment="1" applyFont="1">
      <alignment horizontal="center" vertical="center"/>
    </xf>
    <xf borderId="8" fillId="0" fontId="3" numFmtId="2" xfId="0" applyAlignment="1" applyBorder="1" applyFont="1" applyNumberFormat="1">
      <alignment horizontal="center" vertical="center"/>
    </xf>
    <xf borderId="8" fillId="4" fontId="3" numFmtId="0" xfId="0" applyAlignment="1" applyBorder="1" applyFont="1">
      <alignment horizontal="center" shrinkToFit="0" vertical="center" wrapText="1"/>
    </xf>
    <xf borderId="8" fillId="5" fontId="3" numFmtId="1" xfId="0" applyAlignment="1" applyBorder="1" applyFont="1" applyNumberFormat="1">
      <alignment horizontal="center" vertical="center"/>
    </xf>
    <xf borderId="8" fillId="6" fontId="3" numFmtId="166" xfId="0" applyAlignment="1" applyBorder="1" applyFont="1" applyNumberFormat="1">
      <alignment horizontal="center" vertical="center"/>
    </xf>
    <xf borderId="1" fillId="0" fontId="3" numFmtId="0" xfId="0" applyAlignment="1" applyBorder="1" applyFont="1">
      <alignment shrinkToFit="0" wrapText="1"/>
    </xf>
    <xf borderId="19" fillId="0" fontId="6" numFmtId="0" xfId="0" applyAlignment="1" applyBorder="1" applyFont="1">
      <alignment horizontal="center"/>
    </xf>
    <xf borderId="19" fillId="0" fontId="3" numFmtId="0" xfId="0" applyAlignment="1" applyBorder="1" applyFont="1">
      <alignment horizontal="left" vertical="center"/>
    </xf>
    <xf borderId="19" fillId="0" fontId="6" numFmtId="0" xfId="0" applyAlignment="1" applyBorder="1" applyFont="1">
      <alignment horizontal="left" vertical="center"/>
    </xf>
    <xf borderId="34" fillId="4" fontId="3" numFmtId="0" xfId="0" applyAlignment="1" applyBorder="1" applyFont="1">
      <alignment horizontal="center" vertical="center"/>
    </xf>
    <xf borderId="34" fillId="6" fontId="3" numFmtId="2" xfId="0" applyAlignment="1" applyBorder="1" applyFont="1" applyNumberFormat="1">
      <alignment horizontal="center" vertical="center"/>
    </xf>
    <xf borderId="0" fillId="0" fontId="6" numFmtId="0" xfId="0" applyAlignment="1" applyFont="1">
      <alignment horizontal="center" vertical="center"/>
    </xf>
    <xf borderId="8" fillId="0" fontId="3" numFmtId="164" xfId="0" applyAlignment="1" applyBorder="1" applyFont="1" applyNumberFormat="1">
      <alignment horizontal="center" vertical="center"/>
    </xf>
    <xf borderId="8" fillId="6" fontId="3" numFmtId="164" xfId="0" applyAlignment="1" applyBorder="1" applyFont="1" applyNumberFormat="1">
      <alignment horizontal="center" vertical="center"/>
    </xf>
    <xf borderId="0" fillId="0" fontId="18" numFmtId="0" xfId="0" applyAlignment="1" applyFont="1">
      <alignment vertical="bottom"/>
    </xf>
    <xf borderId="35" fillId="0" fontId="18" numFmtId="0" xfId="0" applyAlignment="1" applyBorder="1" applyFont="1">
      <alignment vertical="bottom"/>
    </xf>
    <xf borderId="35" fillId="0" fontId="18" numFmtId="0" xfId="0" applyAlignment="1" applyBorder="1" applyFont="1">
      <alignment vertical="bottom"/>
    </xf>
    <xf borderId="35" fillId="0" fontId="18" numFmtId="164" xfId="0" applyAlignment="1" applyBorder="1" applyFont="1" applyNumberFormat="1">
      <alignment vertical="bottom"/>
    </xf>
    <xf borderId="35" fillId="0" fontId="18" numFmtId="2" xfId="0" applyAlignment="1" applyBorder="1" applyFont="1" applyNumberFormat="1">
      <alignment vertical="bottom"/>
    </xf>
    <xf borderId="0" fillId="0" fontId="3" numFmtId="2" xfId="0" applyAlignment="1" applyFont="1" applyNumberFormat="1">
      <alignment horizontal="center" vertical="center"/>
    </xf>
    <xf borderId="36" fillId="0" fontId="18" numFmtId="0" xfId="0" applyAlignment="1" applyBorder="1" applyFont="1">
      <alignment vertical="bottom"/>
    </xf>
    <xf borderId="0" fillId="0" fontId="19" numFmtId="0" xfId="0" applyAlignment="1" applyFont="1">
      <alignment horizontal="center" readingOrder="0" shrinkToFit="0" vertical="center" wrapText="1"/>
    </xf>
    <xf borderId="0" fillId="0" fontId="18" numFmtId="0" xfId="0" applyAlignment="1" applyFont="1">
      <alignment vertical="bottom"/>
    </xf>
    <xf borderId="0" fillId="0" fontId="18" numFmtId="164" xfId="0" applyAlignment="1" applyFont="1" applyNumberFormat="1">
      <alignment vertical="bottom"/>
    </xf>
    <xf borderId="37" fillId="0" fontId="18" numFmtId="2" xfId="0" applyAlignment="1" applyBorder="1" applyFont="1" applyNumberFormat="1">
      <alignment vertical="bottom"/>
    </xf>
    <xf borderId="28" fillId="8" fontId="18" numFmtId="164" xfId="0" applyAlignment="1" applyBorder="1" applyFont="1" applyNumberFormat="1">
      <alignment shrinkToFit="0" vertical="bottom" wrapText="0"/>
    </xf>
    <xf borderId="1" fillId="0" fontId="3" numFmtId="2" xfId="0" applyAlignment="1" applyBorder="1" applyFont="1" applyNumberFormat="1">
      <alignment horizontal="center" vertical="center"/>
    </xf>
    <xf borderId="38" fillId="0" fontId="2" numFmtId="0" xfId="0" applyBorder="1" applyFont="1"/>
    <xf borderId="35" fillId="0" fontId="2" numFmtId="0" xfId="0" applyBorder="1" applyFont="1"/>
    <xf borderId="35" fillId="8" fontId="18" numFmtId="0" xfId="0" applyAlignment="1" applyBorder="1" applyFont="1">
      <alignment vertical="bottom"/>
    </xf>
    <xf borderId="35" fillId="8" fontId="18" numFmtId="164" xfId="0" applyAlignment="1" applyBorder="1" applyFont="1" applyNumberFormat="1">
      <alignment vertical="bottom"/>
    </xf>
    <xf borderId="39" fillId="8" fontId="18" numFmtId="2" xfId="0" applyAlignment="1" applyBorder="1" applyFont="1" applyNumberFormat="1">
      <alignment vertical="bottom"/>
    </xf>
    <xf borderId="0" fillId="0" fontId="3" numFmtId="164" xfId="0" applyAlignment="1" applyFont="1" applyNumberFormat="1">
      <alignment horizontal="center" shrinkToFit="0" vertical="center" wrapText="1"/>
    </xf>
    <xf borderId="1" fillId="0" fontId="20" numFmtId="0" xfId="0" applyAlignment="1" applyBorder="1" applyFont="1">
      <alignment horizontal="center" readingOrder="0" vertical="center"/>
    </xf>
    <xf borderId="0" fillId="0" fontId="21" numFmtId="0" xfId="0" applyAlignment="1" applyFont="1">
      <alignment horizontal="center" readingOrder="0" vertical="center"/>
    </xf>
    <xf borderId="1" fillId="0" fontId="22" numFmtId="0" xfId="0" applyAlignment="1" applyBorder="1" applyFont="1">
      <alignment readingOrder="0"/>
    </xf>
    <xf borderId="8" fillId="5" fontId="23" numFmtId="0" xfId="0" applyAlignment="1" applyBorder="1" applyFont="1">
      <alignment readingOrder="0"/>
    </xf>
    <xf borderId="5" fillId="2" fontId="1" numFmtId="0" xfId="0" applyAlignment="1" applyBorder="1" applyFont="1">
      <alignment readingOrder="0"/>
    </xf>
    <xf borderId="0" fillId="0" fontId="17" numFmtId="2" xfId="0" applyAlignment="1" applyFont="1" applyNumberFormat="1">
      <alignment horizontal="center" vertical="center"/>
    </xf>
    <xf borderId="31" fillId="2" fontId="8" numFmtId="0" xfId="0" applyAlignment="1" applyBorder="1" applyFont="1">
      <alignment horizontal="left" shrinkToFit="0" vertical="center" wrapText="1"/>
    </xf>
    <xf borderId="1" fillId="3" fontId="24" numFmtId="0" xfId="0" applyAlignment="1" applyBorder="1" applyFont="1">
      <alignment horizontal="center" vertical="center"/>
    </xf>
    <xf borderId="8" fillId="3" fontId="24" numFmtId="0" xfId="0" applyAlignment="1" applyBorder="1" applyFont="1">
      <alignment horizontal="center" vertical="center"/>
    </xf>
    <xf borderId="8" fillId="3" fontId="24" numFmtId="164" xfId="0" applyAlignment="1" applyBorder="1" applyFont="1" applyNumberFormat="1">
      <alignment horizontal="center" shrinkToFit="0" vertical="center" wrapText="1"/>
    </xf>
    <xf borderId="18" fillId="3" fontId="10" numFmtId="0" xfId="0" applyAlignment="1" applyBorder="1" applyFont="1">
      <alignment horizontal="center" shrinkToFit="0" vertical="center" wrapText="1"/>
    </xf>
    <xf borderId="26" fillId="3" fontId="10" numFmtId="0" xfId="0" applyAlignment="1" applyBorder="1" applyFont="1">
      <alignment horizontal="center" shrinkToFit="0" vertical="center" wrapText="1"/>
    </xf>
    <xf borderId="18" fillId="3" fontId="4" numFmtId="164" xfId="0" applyAlignment="1" applyBorder="1" applyFont="1" applyNumberFormat="1">
      <alignment horizontal="center" shrinkToFit="0" vertical="center" wrapText="1"/>
    </xf>
    <xf borderId="9" fillId="0" fontId="2" numFmtId="0" xfId="0" applyBorder="1" applyFont="1"/>
    <xf borderId="29" fillId="0" fontId="2" numFmtId="0" xfId="0" applyBorder="1" applyFont="1"/>
    <xf borderId="8" fillId="4" fontId="9" numFmtId="0" xfId="0" applyAlignment="1" applyBorder="1" applyFont="1">
      <alignment horizontal="center" shrinkToFit="0" vertical="center" wrapText="1"/>
    </xf>
    <xf borderId="0" fillId="0" fontId="3" numFmtId="2" xfId="0" applyAlignment="1" applyFont="1" applyNumberFormat="1">
      <alignment horizontal="center" shrinkToFit="0" vertical="center" wrapText="1"/>
    </xf>
    <xf borderId="26" fillId="8" fontId="9" numFmtId="0" xfId="0" applyAlignment="1" applyBorder="1" applyFont="1">
      <alignment horizontal="center" shrinkToFit="0" vertical="center" wrapText="1"/>
    </xf>
    <xf borderId="18" fillId="4" fontId="3" numFmtId="0" xfId="0" applyAlignment="1" applyBorder="1" applyFont="1">
      <alignment horizontal="center" shrinkToFit="0" vertical="center" wrapText="1"/>
    </xf>
    <xf borderId="8" fillId="8" fontId="3" numFmtId="0" xfId="0" applyAlignment="1" applyBorder="1" applyFont="1">
      <alignment horizontal="center" vertical="center"/>
    </xf>
    <xf borderId="8" fillId="5" fontId="3" numFmtId="0" xfId="0" applyAlignment="1" applyBorder="1" applyFont="1">
      <alignment horizontal="center" readingOrder="0" vertical="center"/>
    </xf>
    <xf borderId="8" fillId="5" fontId="3" numFmtId="165" xfId="0" applyAlignment="1" applyBorder="1" applyFont="1" applyNumberFormat="1">
      <alignment horizontal="center" vertical="center"/>
    </xf>
    <xf borderId="8" fillId="5" fontId="3" numFmtId="3" xfId="0" applyAlignment="1" applyBorder="1" applyFont="1" applyNumberFormat="1">
      <alignment horizontal="center" vertical="center"/>
    </xf>
    <xf borderId="8" fillId="5" fontId="3" numFmtId="4" xfId="0" applyAlignment="1" applyBorder="1" applyFont="1" applyNumberFormat="1">
      <alignment horizontal="center" vertical="center"/>
    </xf>
    <xf borderId="8" fillId="5" fontId="3" numFmtId="4" xfId="0" applyAlignment="1" applyBorder="1" applyFont="1" applyNumberFormat="1">
      <alignment horizontal="center" shrinkToFit="0" vertical="center" wrapText="1"/>
    </xf>
    <xf borderId="1" fillId="2" fontId="8" numFmtId="0" xfId="0" applyBorder="1" applyFont="1"/>
    <xf borderId="0" fillId="0" fontId="4" numFmtId="0" xfId="0" applyAlignment="1" applyFont="1">
      <alignment horizontal="center" vertical="center"/>
    </xf>
    <xf borderId="8" fillId="8" fontId="6" numFmtId="0" xfId="0" applyAlignment="1" applyBorder="1" applyFont="1">
      <alignment horizontal="center" vertical="center"/>
    </xf>
    <xf borderId="1" fillId="8" fontId="3" numFmtId="0" xfId="0" applyAlignment="1" applyBorder="1" applyFont="1">
      <alignment horizontal="left" vertical="center"/>
    </xf>
    <xf borderId="1" fillId="0" fontId="3" numFmtId="0" xfId="0" applyAlignment="1" applyBorder="1" applyFont="1">
      <alignment horizontal="left" vertical="center"/>
    </xf>
    <xf borderId="8" fillId="8" fontId="3" numFmtId="0" xfId="0" applyAlignment="1" applyBorder="1" applyFont="1">
      <alignment horizontal="left" vertical="center"/>
    </xf>
    <xf borderId="18" fillId="8" fontId="3" numFmtId="0" xfId="0" applyAlignment="1" applyBorder="1" applyFont="1">
      <alignment horizontal="center" vertical="center"/>
    </xf>
    <xf borderId="26" fillId="8" fontId="3" numFmtId="0" xfId="0" applyAlignment="1" applyBorder="1" applyFont="1">
      <alignment horizontal="left" shrinkToFit="0" vertical="center" wrapText="1"/>
    </xf>
    <xf borderId="18" fillId="5" fontId="3" numFmtId="1" xfId="0" applyAlignment="1" applyBorder="1" applyFont="1" applyNumberFormat="1">
      <alignment horizontal="center" readingOrder="0" vertical="center"/>
    </xf>
    <xf borderId="26" fillId="0" fontId="3" numFmtId="0" xfId="0" applyAlignment="1" applyBorder="1" applyFont="1">
      <alignment horizontal="left" shrinkToFit="0" vertical="center" wrapText="1"/>
    </xf>
    <xf borderId="31" fillId="2" fontId="8" numFmtId="0" xfId="0" applyBorder="1" applyFont="1"/>
    <xf borderId="18" fillId="3" fontId="4" numFmtId="2" xfId="0" applyAlignment="1" applyBorder="1" applyFont="1" applyNumberFormat="1">
      <alignment horizontal="center" shrinkToFit="0" vertical="center" wrapText="1"/>
    </xf>
    <xf borderId="18" fillId="3" fontId="25" numFmtId="2" xfId="0" applyAlignment="1" applyBorder="1" applyFont="1" applyNumberFormat="1">
      <alignment horizontal="center" shrinkToFit="0" vertical="center" wrapText="1"/>
    </xf>
    <xf borderId="26" fillId="0" fontId="26" numFmtId="0" xfId="0" applyAlignment="1" applyBorder="1" applyFont="1">
      <alignment vertical="center"/>
    </xf>
    <xf borderId="9" fillId="0" fontId="27" numFmtId="0" xfId="0" applyAlignment="1" applyBorder="1" applyFont="1">
      <alignment vertical="center"/>
    </xf>
    <xf borderId="18" fillId="4" fontId="3" numFmtId="164" xfId="0" applyAlignment="1" applyBorder="1" applyFont="1" applyNumberFormat="1">
      <alignment horizontal="center" shrinkToFit="0" vertical="center" wrapText="1"/>
    </xf>
    <xf borderId="18" fillId="4" fontId="3" numFmtId="2" xfId="0" applyAlignment="1" applyBorder="1" applyFont="1" applyNumberFormat="1">
      <alignment horizontal="center" shrinkToFit="0" vertical="center" wrapText="1"/>
    </xf>
    <xf borderId="8" fillId="6" fontId="3" numFmtId="164" xfId="0" applyAlignment="1" applyBorder="1" applyFont="1" applyNumberFormat="1">
      <alignment horizontal="center" shrinkToFit="0" vertical="center" wrapText="1"/>
    </xf>
    <xf borderId="8" fillId="6" fontId="3" numFmtId="4" xfId="0" applyAlignment="1" applyBorder="1" applyFont="1" applyNumberFormat="1">
      <alignment horizontal="center" vertical="center"/>
    </xf>
    <xf borderId="29" fillId="0" fontId="28" numFmtId="0" xfId="0" applyAlignment="1" applyBorder="1" applyFont="1">
      <alignment vertical="center"/>
    </xf>
    <xf borderId="0" fillId="0" fontId="18" numFmtId="0" xfId="0" applyAlignment="1" applyFont="1">
      <alignment horizontal="left"/>
    </xf>
    <xf borderId="8" fillId="0" fontId="18" numFmtId="0" xfId="0" applyAlignment="1" applyBorder="1" applyFont="1">
      <alignment horizontal="center"/>
    </xf>
    <xf borderId="8" fillId="0" fontId="18" numFmtId="0" xfId="0" applyAlignment="1" applyBorder="1" applyFont="1">
      <alignment horizontal="center" readingOrder="0" shrinkToFit="0" vertical="top" wrapText="1"/>
    </xf>
    <xf borderId="0" fillId="0" fontId="22" numFmtId="0" xfId="0" applyAlignment="1" applyFont="1">
      <alignment readingOrder="0"/>
    </xf>
    <xf borderId="8" fillId="8" fontId="29" numFmtId="0" xfId="0" applyAlignment="1" applyBorder="1" applyFont="1">
      <alignment horizontal="center" readingOrder="0" shrinkToFit="0" vertical="center" wrapText="1"/>
    </xf>
    <xf borderId="8" fillId="0" fontId="18" numFmtId="0" xfId="0" applyAlignment="1" applyBorder="1" applyFont="1">
      <alignment horizontal="center" readingOrder="0"/>
    </xf>
    <xf borderId="8" fillId="8" fontId="29" numFmtId="0" xfId="0" applyAlignment="1" applyBorder="1" applyFont="1">
      <alignment horizontal="center" shrinkToFit="0" vertical="center" wrapText="1"/>
    </xf>
    <xf borderId="8" fillId="6" fontId="3" numFmtId="3" xfId="0" applyAlignment="1" applyBorder="1" applyFont="1" applyNumberFormat="1">
      <alignment horizontal="center" vertical="center"/>
    </xf>
    <xf borderId="8" fillId="5" fontId="22" numFmtId="0" xfId="0" applyAlignment="1" applyBorder="1" applyFont="1">
      <alignment readingOrder="0"/>
    </xf>
    <xf borderId="8" fillId="0" fontId="22" numFmtId="0" xfId="0" applyAlignment="1" applyBorder="1" applyFont="1">
      <alignment horizontal="left" readingOrder="0" vertical="center"/>
    </xf>
    <xf borderId="8" fillId="0" fontId="22" numFmtId="0" xfId="0" applyAlignment="1" applyBorder="1" applyFont="1">
      <alignment horizontal="center" readingOrder="0" vertical="center"/>
    </xf>
    <xf borderId="0" fillId="0" fontId="30" numFmtId="0" xfId="0" applyAlignment="1" applyFont="1">
      <alignment readingOrder="0" shrinkToFit="0" wrapText="1"/>
    </xf>
    <xf borderId="1" fillId="0" fontId="22" numFmtId="0" xfId="0" applyAlignment="1" applyBorder="1" applyFont="1">
      <alignment horizontal="left" readingOrder="0" vertical="center"/>
    </xf>
    <xf borderId="8" fillId="5" fontId="22" numFmtId="0" xfId="0" applyAlignment="1" applyBorder="1" applyFont="1">
      <alignment horizontal="center" readingOrder="0" vertical="center"/>
    </xf>
    <xf borderId="16" fillId="5" fontId="9" numFmtId="1" xfId="0" applyAlignment="1" applyBorder="1" applyFont="1" applyNumberFormat="1">
      <alignment horizontal="right" readingOrder="0" shrinkToFit="0" vertical="center" wrapText="1"/>
    </xf>
    <xf borderId="8" fillId="0" fontId="11" numFmtId="0" xfId="0" applyAlignment="1" applyBorder="1" applyFont="1">
      <alignment horizontal="center" shrinkToFit="0" vertical="center" wrapText="1"/>
    </xf>
    <xf borderId="8" fillId="0" fontId="9" numFmtId="0" xfId="0" applyAlignment="1" applyBorder="1" applyFont="1">
      <alignment horizontal="left" shrinkToFit="0" vertical="center" wrapText="1"/>
    </xf>
    <xf borderId="8" fillId="5" fontId="3" numFmtId="0" xfId="0" applyAlignment="1" applyBorder="1" applyFont="1">
      <alignment horizontal="center" shrinkToFit="0" vertical="center" wrapText="1"/>
    </xf>
    <xf borderId="8" fillId="0" fontId="6" numFmtId="0" xfId="0" applyAlignment="1" applyBorder="1" applyFont="1">
      <alignment horizontal="center" shrinkToFit="0" vertical="center" wrapText="1"/>
    </xf>
    <xf borderId="8" fillId="5" fontId="3" numFmtId="0" xfId="0" applyAlignment="1" applyBorder="1" applyFont="1">
      <alignment horizontal="center" readingOrder="0" shrinkToFit="0" vertical="center" wrapText="1"/>
    </xf>
    <xf borderId="8" fillId="0" fontId="3" numFmtId="0" xfId="0" applyAlignment="1" applyBorder="1" applyFont="1">
      <alignment horizontal="center" shrinkToFit="0" wrapText="1"/>
    </xf>
    <xf borderId="8" fillId="0" fontId="6" numFmtId="0" xfId="0" applyAlignment="1" applyBorder="1" applyFont="1">
      <alignment horizontal="center" shrinkToFit="0" wrapText="1"/>
    </xf>
    <xf borderId="8" fillId="5" fontId="3" numFmtId="2" xfId="0" applyAlignment="1" applyBorder="1" applyFont="1" applyNumberFormat="1">
      <alignment horizontal="center" shrinkToFit="0" vertical="center" wrapText="1"/>
    </xf>
    <xf borderId="8" fillId="0" fontId="12" numFmtId="0" xfId="0" applyAlignment="1" applyBorder="1" applyFont="1">
      <alignment horizontal="left" shrinkToFit="0" vertical="center" wrapText="1"/>
    </xf>
    <xf borderId="8" fillId="6" fontId="3" numFmtId="1" xfId="0" applyAlignment="1" applyBorder="1" applyFont="1" applyNumberFormat="1">
      <alignment horizontal="center" shrinkToFit="0" vertical="center" wrapText="1"/>
    </xf>
    <xf borderId="8" fillId="6" fontId="3" numFmtId="2" xfId="0" applyAlignment="1" applyBorder="1" applyFont="1" applyNumberFormat="1">
      <alignment horizontal="center" shrinkToFit="0" vertical="center" wrapText="1"/>
    </xf>
    <xf borderId="8" fillId="0" fontId="7" numFmtId="0" xfId="0" applyAlignment="1" applyBorder="1" applyFont="1">
      <alignment horizontal="center" shrinkToFit="0" vertical="center" wrapText="1"/>
    </xf>
    <xf borderId="8" fillId="6" fontId="3" numFmtId="0" xfId="0" applyAlignment="1" applyBorder="1" applyFont="1">
      <alignment horizontal="center" shrinkToFit="0" vertical="center" wrapText="1"/>
    </xf>
    <xf borderId="18" fillId="0" fontId="6" numFmtId="0" xfId="0" applyAlignment="1" applyBorder="1" applyFont="1">
      <alignment horizontal="center" shrinkToFit="0" vertical="center" wrapText="1"/>
    </xf>
    <xf borderId="18" fillId="6" fontId="3" numFmtId="164" xfId="0" applyAlignment="1" applyBorder="1" applyFont="1" applyNumberFormat="1">
      <alignment horizontal="center" shrinkToFit="0" vertical="center" wrapText="1"/>
    </xf>
    <xf borderId="8" fillId="6" fontId="3" numFmtId="165" xfId="0" applyAlignment="1" applyBorder="1" applyFont="1" applyNumberFormat="1">
      <alignment horizontal="center" shrinkToFit="0" vertical="center" wrapText="1"/>
    </xf>
    <xf borderId="18" fillId="6" fontId="3" numFmtId="1" xfId="0" applyAlignment="1" applyBorder="1" applyFont="1" applyNumberFormat="1">
      <alignment horizontal="center" shrinkToFit="0" vertical="center" wrapText="1"/>
    </xf>
    <xf borderId="8" fillId="8" fontId="31" numFmtId="0" xfId="0" applyAlignment="1" applyBorder="1" applyFont="1">
      <alignment readingOrder="0"/>
    </xf>
    <xf borderId="8" fillId="0" fontId="22" numFmtId="0" xfId="0" applyBorder="1" applyFont="1"/>
    <xf borderId="8" fillId="0" fontId="4" numFmtId="0" xfId="0" applyAlignment="1" applyBorder="1" applyFont="1">
      <alignment horizontal="center" shrinkToFit="0" vertical="center" wrapText="1"/>
    </xf>
    <xf borderId="0" fillId="0" fontId="4" numFmtId="0" xfId="0" applyAlignment="1" applyFont="1">
      <alignment horizontal="center" shrinkToFit="0" vertical="center" wrapText="1"/>
    </xf>
    <xf borderId="0" fillId="9" fontId="4" numFmtId="0" xfId="0" applyAlignment="1" applyFill="1" applyFont="1">
      <alignment horizontal="center" shrinkToFit="0" vertical="center" wrapText="1"/>
    </xf>
    <xf borderId="18" fillId="0" fontId="22" numFmtId="0" xfId="0" applyAlignment="1" applyBorder="1" applyFont="1">
      <alignment readingOrder="0" vertical="center"/>
    </xf>
    <xf borderId="8" fillId="0" fontId="22" numFmtId="0" xfId="0" applyAlignment="1" applyBorder="1" applyFont="1">
      <alignment readingOrder="0"/>
    </xf>
    <xf borderId="18" fillId="0" fontId="22" numFmtId="0" xfId="0" applyAlignment="1" applyBorder="1" applyFont="1">
      <alignment readingOrder="0" shrinkToFit="0" vertical="center" wrapText="1"/>
    </xf>
    <xf borderId="0" fillId="0" fontId="30" numFmtId="0" xfId="0" applyAlignment="1" applyFont="1">
      <alignment readingOrder="0" shrinkToFit="0" vertical="center" wrapText="1"/>
    </xf>
    <xf borderId="40" fillId="2" fontId="1" numFmtId="0" xfId="0" applyAlignment="1" applyBorder="1" applyFont="1">
      <alignment horizontal="left" vertical="center"/>
    </xf>
    <xf borderId="40" fillId="2" fontId="1" numFmtId="0" xfId="0" applyAlignment="1" applyBorder="1" applyFont="1">
      <alignment horizontal="left" shrinkToFit="0" vertical="center" wrapText="1"/>
    </xf>
    <xf borderId="5" fillId="2" fontId="8" numFmtId="0" xfId="0" applyAlignment="1" applyBorder="1" applyFont="1">
      <alignment horizontal="left"/>
    </xf>
    <xf borderId="1" fillId="2" fontId="8" numFmtId="0" xfId="0" applyAlignment="1" applyBorder="1" applyFont="1">
      <alignment horizontal="left" vertical="center"/>
    </xf>
    <xf borderId="25" fillId="2" fontId="32" numFmtId="0" xfId="0" applyAlignment="1" applyBorder="1" applyFont="1">
      <alignment horizontal="left" vertical="center"/>
    </xf>
    <xf borderId="24" fillId="0" fontId="32" numFmtId="0" xfId="0" applyAlignment="1" applyBorder="1" applyFont="1">
      <alignment horizontal="left" vertical="center"/>
    </xf>
    <xf borderId="1" fillId="2" fontId="16" numFmtId="0" xfId="0" applyAlignment="1" applyBorder="1" applyFont="1">
      <alignment vertical="center"/>
    </xf>
    <xf borderId="5" fillId="2" fontId="16" numFmtId="0" xfId="0" applyAlignment="1" applyBorder="1" applyFont="1">
      <alignment horizontal="left" vertical="center"/>
    </xf>
    <xf borderId="0" fillId="0" fontId="4" numFmtId="0" xfId="0" applyAlignment="1" applyFont="1">
      <alignment horizontal="left" vertical="center"/>
    </xf>
    <xf borderId="0" fillId="0" fontId="32" numFmtId="0" xfId="0" applyAlignment="1" applyFont="1">
      <alignment horizontal="left" vertical="center"/>
    </xf>
    <xf borderId="18" fillId="3" fontId="4" numFmtId="165" xfId="0" applyAlignment="1" applyBorder="1" applyFont="1" applyNumberFormat="1">
      <alignment horizontal="center" shrinkToFit="0" vertical="center" wrapText="1"/>
    </xf>
    <xf borderId="41" fillId="3" fontId="25" numFmtId="1" xfId="0" applyAlignment="1" applyBorder="1" applyFont="1" applyNumberFormat="1">
      <alignment horizontal="center" shrinkToFit="0" vertical="center" wrapText="1"/>
    </xf>
    <xf borderId="24" fillId="0" fontId="25" numFmtId="1" xfId="0" applyAlignment="1" applyBorder="1" applyFont="1" applyNumberFormat="1">
      <alignment horizontal="center" shrinkToFit="0" vertical="center" wrapText="1"/>
    </xf>
    <xf borderId="42" fillId="3" fontId="4" numFmtId="1" xfId="0" applyAlignment="1" applyBorder="1" applyFont="1" applyNumberFormat="1">
      <alignment horizontal="center" shrinkToFit="0" vertical="center" wrapText="1"/>
    </xf>
    <xf borderId="18" fillId="3" fontId="25" numFmtId="165" xfId="0" applyAlignment="1" applyBorder="1" applyFont="1" applyNumberFormat="1">
      <alignment horizontal="center" shrinkToFit="0" vertical="center" wrapText="1"/>
    </xf>
    <xf borderId="18" fillId="3" fontId="25" numFmtId="164" xfId="0" applyAlignment="1" applyBorder="1" applyFont="1" applyNumberFormat="1">
      <alignment horizontal="center" shrinkToFit="0" vertical="center" wrapText="1"/>
    </xf>
    <xf borderId="1" fillId="3" fontId="4" numFmtId="1" xfId="0" applyAlignment="1" applyBorder="1" applyFont="1" applyNumberFormat="1">
      <alignment horizontal="center" vertical="center"/>
    </xf>
    <xf borderId="1" fillId="6" fontId="4" numFmtId="0" xfId="0" applyAlignment="1" applyBorder="1" applyFont="1">
      <alignment horizontal="right" shrinkToFit="0" vertical="center" wrapText="1"/>
    </xf>
    <xf borderId="16" fillId="5" fontId="10" numFmtId="165" xfId="0" applyAlignment="1" applyBorder="1" applyFont="1" applyNumberFormat="1">
      <alignment horizontal="left" shrinkToFit="0" vertical="center" wrapText="1"/>
    </xf>
    <xf borderId="43" fillId="6" fontId="4" numFmtId="0" xfId="0" applyAlignment="1" applyBorder="1" applyFont="1">
      <alignment horizontal="center" shrinkToFit="0" vertical="center" wrapText="1"/>
    </xf>
    <xf borderId="44" fillId="0" fontId="2" numFmtId="0" xfId="0" applyBorder="1" applyFont="1"/>
    <xf borderId="24" fillId="0" fontId="4" numFmtId="0" xfId="0" applyAlignment="1" applyBorder="1" applyFont="1">
      <alignment horizontal="center" vertical="center"/>
    </xf>
    <xf borderId="45" fillId="0" fontId="2" numFmtId="0" xfId="0" applyBorder="1" applyFont="1"/>
    <xf borderId="46" fillId="0" fontId="2" numFmtId="0" xfId="0" applyBorder="1" applyFont="1"/>
    <xf borderId="18" fillId="3" fontId="4" numFmtId="1" xfId="0" applyAlignment="1" applyBorder="1" applyFont="1" applyNumberFormat="1">
      <alignment horizontal="center" shrinkToFit="0" vertical="center" wrapText="1"/>
    </xf>
    <xf borderId="8" fillId="3" fontId="4" numFmtId="0" xfId="0" applyAlignment="1" applyBorder="1" applyFont="1">
      <alignment horizontal="center" shrinkToFit="0" vertical="center" wrapText="1"/>
    </xf>
    <xf borderId="47" fillId="0" fontId="2" numFmtId="0" xfId="0" applyBorder="1" applyFont="1"/>
    <xf borderId="48" fillId="0" fontId="2" numFmtId="0" xfId="0" applyBorder="1" applyFont="1"/>
    <xf borderId="8" fillId="6" fontId="4" numFmtId="165" xfId="0" applyAlignment="1" applyBorder="1" applyFont="1" applyNumberFormat="1">
      <alignment horizontal="center" shrinkToFit="0" vertical="center" wrapText="1"/>
    </xf>
    <xf borderId="18" fillId="0" fontId="3" numFmtId="0" xfId="0" applyAlignment="1" applyBorder="1" applyFont="1">
      <alignment horizontal="center" shrinkToFit="0" vertical="center" wrapText="1"/>
    </xf>
    <xf borderId="8" fillId="4" fontId="3" numFmtId="0" xfId="0" applyAlignment="1" applyBorder="1" applyFont="1">
      <alignment horizontal="center"/>
    </xf>
    <xf borderId="8" fillId="5" fontId="3" numFmtId="0" xfId="0" applyAlignment="1" applyBorder="1" applyFont="1">
      <alignment horizontal="center" readingOrder="0"/>
    </xf>
    <xf borderId="8" fillId="4" fontId="3" numFmtId="2" xfId="0" applyAlignment="1" applyBorder="1" applyFont="1" applyNumberFormat="1">
      <alignment horizontal="center" vertical="center"/>
    </xf>
    <xf borderId="8" fillId="4" fontId="3" numFmtId="165" xfId="0" applyAlignment="1" applyBorder="1" applyFont="1" applyNumberFormat="1">
      <alignment horizontal="center" vertical="center"/>
    </xf>
    <xf borderId="25" fillId="4" fontId="3" numFmtId="1" xfId="0" applyAlignment="1" applyBorder="1" applyFont="1" applyNumberFormat="1">
      <alignment horizontal="center" vertical="center"/>
    </xf>
    <xf borderId="24" fillId="0" fontId="3" numFmtId="1" xfId="0" applyAlignment="1" applyBorder="1" applyFont="1" applyNumberFormat="1">
      <alignment horizontal="center" vertical="center"/>
    </xf>
    <xf borderId="17" fillId="4" fontId="3" numFmtId="1" xfId="0" applyAlignment="1" applyBorder="1" applyFont="1" applyNumberFormat="1">
      <alignment horizontal="center" vertical="center"/>
    </xf>
    <xf borderId="8" fillId="5" fontId="3" numFmtId="0" xfId="0" applyAlignment="1" applyBorder="1" applyFont="1">
      <alignment horizontal="center"/>
    </xf>
    <xf borderId="25" fillId="6" fontId="3" numFmtId="1" xfId="0" applyAlignment="1" applyBorder="1" applyFont="1" applyNumberFormat="1">
      <alignment horizontal="center" vertical="center"/>
    </xf>
    <xf borderId="17" fillId="6" fontId="3" numFmtId="1" xfId="0" applyAlignment="1" applyBorder="1" applyFont="1" applyNumberFormat="1">
      <alignment horizontal="center" vertical="center"/>
    </xf>
    <xf borderId="8" fillId="4" fontId="3" numFmtId="164" xfId="0" applyAlignment="1" applyBorder="1" applyFont="1" applyNumberFormat="1">
      <alignment horizontal="center" vertical="center"/>
    </xf>
    <xf borderId="8" fillId="4" fontId="3" numFmtId="1" xfId="0" applyAlignment="1" applyBorder="1" applyFont="1" applyNumberFormat="1">
      <alignment horizontal="center" vertical="center"/>
    </xf>
    <xf borderId="18" fillId="0" fontId="9" numFmtId="0" xfId="0" applyAlignment="1" applyBorder="1" applyFont="1">
      <alignment horizontal="center" shrinkToFit="0" vertical="center" wrapText="1"/>
    </xf>
    <xf borderId="25" fillId="8" fontId="9" numFmtId="0" xfId="0" applyAlignment="1" applyBorder="1" applyFont="1">
      <alignment horizontal="right" shrinkToFit="0" vertical="center" wrapText="1"/>
    </xf>
    <xf borderId="18" fillId="6" fontId="3" numFmtId="0" xfId="0" applyAlignment="1" applyBorder="1" applyFont="1">
      <alignment horizontal="center" vertical="center"/>
    </xf>
    <xf borderId="1" fillId="0" fontId="9" numFmtId="0" xfId="0" applyAlignment="1" applyBorder="1" applyFont="1">
      <alignment horizontal="center" shrinkToFit="0" vertical="center" wrapText="1"/>
    </xf>
    <xf borderId="1" fillId="0" fontId="33" numFmtId="0" xfId="0" applyBorder="1" applyFont="1"/>
    <xf borderId="40" fillId="2" fontId="8" numFmtId="0" xfId="0" applyAlignment="1" applyBorder="1" applyFont="1">
      <alignment horizontal="left" vertical="center"/>
    </xf>
    <xf borderId="40" fillId="2" fontId="32" numFmtId="0" xfId="0" applyAlignment="1" applyBorder="1" applyFont="1">
      <alignment horizontal="left" vertical="center"/>
    </xf>
    <xf borderId="26" fillId="0" fontId="34" numFmtId="0" xfId="0" applyAlignment="1" applyBorder="1" applyFont="1">
      <alignment horizontal="left" shrinkToFit="0" vertical="center" wrapText="1"/>
    </xf>
    <xf borderId="24" fillId="0" fontId="3" numFmtId="0" xfId="0" applyAlignment="1" applyBorder="1" applyFont="1">
      <alignment horizontal="left" vertical="center"/>
    </xf>
    <xf borderId="8" fillId="5" fontId="3" numFmtId="2" xfId="0" applyAlignment="1" applyBorder="1" applyFont="1" applyNumberFormat="1">
      <alignment horizontal="center" vertical="center"/>
    </xf>
    <xf borderId="29" fillId="0" fontId="35" numFmtId="0" xfId="0" applyAlignment="1" applyBorder="1" applyFont="1">
      <alignment horizontal="left" shrinkToFit="0" vertical="center" wrapText="1"/>
    </xf>
    <xf borderId="14" fillId="2" fontId="8" numFmtId="0" xfId="0" applyAlignment="1" applyBorder="1" applyFont="1">
      <alignment horizontal="left" vertical="center"/>
    </xf>
    <xf borderId="14" fillId="2" fontId="32" numFmtId="0" xfId="0" applyAlignment="1" applyBorder="1" applyFont="1">
      <alignment horizontal="left" vertical="center"/>
    </xf>
    <xf borderId="8" fillId="0" fontId="3" numFmtId="0" xfId="0" applyBorder="1" applyFont="1"/>
    <xf borderId="0" fillId="0" fontId="9" numFmtId="0" xfId="0" applyAlignment="1" applyFont="1">
      <alignment horizontal="center" shrinkToFit="0" vertical="center" wrapText="1"/>
    </xf>
    <xf borderId="8" fillId="0" fontId="3" numFmtId="0" xfId="0" applyAlignment="1" applyBorder="1" applyFont="1">
      <alignment shrinkToFit="0" wrapText="1"/>
    </xf>
    <xf borderId="18" fillId="6" fontId="3" numFmtId="1" xfId="0" applyAlignment="1" applyBorder="1" applyFont="1" applyNumberFormat="1">
      <alignment horizontal="center" vertical="center"/>
    </xf>
    <xf borderId="18" fillId="0" fontId="3" numFmtId="0" xfId="0" applyBorder="1" applyFont="1"/>
    <xf borderId="8" fillId="0" fontId="4" numFmtId="0" xfId="0" applyAlignment="1" applyBorder="1" applyFont="1">
      <alignment horizontal="right" vertical="center"/>
    </xf>
    <xf borderId="0" fillId="9" fontId="4" numFmtId="0" xfId="0" applyAlignment="1" applyFont="1">
      <alignment horizontal="center" vertical="center"/>
    </xf>
    <xf borderId="0" fillId="0" fontId="20" numFmtId="0" xfId="0" applyAlignment="1" applyFont="1">
      <alignment horizontal="center" readingOrder="0"/>
    </xf>
    <xf borderId="0" fillId="0" fontId="21" numFmtId="0" xfId="0" applyAlignment="1" applyFont="1">
      <alignment horizontal="center" readingOrder="0"/>
    </xf>
    <xf borderId="1" fillId="0" fontId="22" numFmtId="0" xfId="0" applyAlignment="1" applyBorder="1" applyFont="1">
      <alignment readingOrder="0" shrinkToFit="0" wrapText="1"/>
    </xf>
    <xf borderId="8" fillId="9" fontId="22" numFmtId="0" xfId="0" applyAlignment="1" applyBorder="1" applyFont="1">
      <alignment readingOrder="0"/>
    </xf>
    <xf borderId="0" fillId="0" fontId="30" numFmtId="0" xfId="0" applyAlignment="1" applyFont="1">
      <alignment readingOrder="0"/>
    </xf>
    <xf borderId="8" fillId="9" fontId="22" numFmtId="20" xfId="0" applyAlignment="1" applyBorder="1" applyFont="1" applyNumberFormat="1">
      <alignment readingOrder="0"/>
    </xf>
    <xf borderId="8" fillId="0" fontId="36" numFmtId="0" xfId="0" applyAlignment="1" applyBorder="1" applyFont="1">
      <alignment horizontal="center" vertical="center"/>
    </xf>
    <xf borderId="8" fillId="5" fontId="3" numFmtId="165" xfId="0" applyAlignment="1" applyBorder="1" applyFont="1" applyNumberFormat="1">
      <alignment horizontal="center" readingOrder="0" vertical="center"/>
    </xf>
    <xf borderId="8" fillId="0" fontId="3" numFmtId="0" xfId="0" applyAlignment="1" applyBorder="1" applyFont="1">
      <alignment horizontal="left" readingOrder="0" vertical="center"/>
    </xf>
    <xf borderId="8" fillId="8" fontId="3" numFmtId="2" xfId="0" applyAlignment="1" applyBorder="1" applyFont="1" applyNumberFormat="1">
      <alignment horizontal="center" vertical="center"/>
    </xf>
    <xf borderId="8" fillId="0" fontId="7" numFmtId="0" xfId="0" applyAlignment="1" applyBorder="1" applyFont="1">
      <alignment horizontal="left" vertical="center"/>
    </xf>
    <xf borderId="0" fillId="0" fontId="4" numFmtId="0" xfId="0" applyAlignment="1" applyFont="1">
      <alignment horizontal="right" vertical="center"/>
    </xf>
    <xf borderId="40" fillId="2" fontId="37" numFmtId="0" xfId="0" applyAlignment="1" applyBorder="1" applyFont="1">
      <alignment horizontal="left" vertical="center"/>
    </xf>
    <xf borderId="16" fillId="6" fontId="10" numFmtId="165" xfId="0" applyAlignment="1" applyBorder="1" applyFont="1" applyNumberFormat="1">
      <alignment horizontal="left" shrinkToFit="0" vertical="center" wrapText="1"/>
    </xf>
    <xf borderId="16" fillId="6" fontId="4" numFmtId="0" xfId="0" applyAlignment="1" applyBorder="1" applyFont="1">
      <alignment horizontal="center" shrinkToFit="0" vertical="center" wrapText="1"/>
    </xf>
    <xf borderId="17" fillId="6" fontId="4" numFmtId="0" xfId="0" applyAlignment="1" applyBorder="1" applyFont="1">
      <alignment horizontal="center" shrinkToFit="0" vertical="center" wrapText="1"/>
    </xf>
    <xf borderId="17" fillId="6" fontId="3" numFmtId="2" xfId="0" applyAlignment="1" applyBorder="1" applyFont="1" applyNumberFormat="1">
      <alignment horizontal="left"/>
    </xf>
    <xf borderId="8" fillId="6" fontId="3" numFmtId="2" xfId="0" applyAlignment="1" applyBorder="1" applyFont="1" applyNumberFormat="1">
      <alignment horizontal="center"/>
    </xf>
    <xf borderId="1" fillId="0" fontId="9" numFmtId="165" xfId="0" applyAlignment="1" applyBorder="1" applyFont="1" applyNumberFormat="1">
      <alignment horizontal="center" shrinkToFit="0" vertical="center" wrapText="1"/>
    </xf>
    <xf borderId="18" fillId="3" fontId="3" numFmtId="0" xfId="0" applyAlignment="1" applyBorder="1" applyFont="1">
      <alignment horizontal="center" shrinkToFit="0" vertical="center" wrapText="1"/>
    </xf>
    <xf borderId="8" fillId="3" fontId="3" numFmtId="0" xfId="0" applyAlignment="1" applyBorder="1" applyFont="1">
      <alignment horizontal="center" shrinkToFit="0" vertical="center" wrapText="1"/>
    </xf>
    <xf borderId="8" fillId="7" fontId="4" numFmtId="165" xfId="0" applyAlignment="1" applyBorder="1" applyFont="1" applyNumberFormat="1">
      <alignment horizontal="center" vertical="center"/>
    </xf>
    <xf borderId="26" fillId="0" fontId="38" numFmtId="0" xfId="0" applyAlignment="1" applyBorder="1" applyFont="1">
      <alignment horizontal="left" vertical="center"/>
    </xf>
    <xf borderId="0" fillId="0" fontId="3" numFmtId="165" xfId="0" applyAlignment="1" applyFont="1" applyNumberFormat="1">
      <alignment horizontal="center" vertical="center"/>
    </xf>
    <xf borderId="0" fillId="0" fontId="3" numFmtId="1" xfId="0" applyAlignment="1" applyFont="1" applyNumberFormat="1">
      <alignment horizontal="center" vertical="center"/>
    </xf>
  </cellXfs>
  <cellStyles count="1">
    <cellStyle xfId="0" name="Normal" builtinId="0"/>
  </cellStyles>
  <dxfs count="2">
    <dxf>
      <font/>
      <fill>
        <patternFill patternType="solid">
          <fgColor rgb="FFB7E1CD"/>
          <bgColor rgb="FFB7E1CD"/>
        </patternFill>
      </fill>
      <border/>
    </dxf>
    <dxf>
      <font/>
      <fill>
        <patternFill patternType="solid">
          <fgColor rgb="FFF4C7C3"/>
          <bgColor rgb="FFF4C7C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externalLink" Target="externalLinks/externalLink2.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hyperlink" Target="https://websoilsurvey.sc.egov.usda.gov/App/HomePage.htm" TargetMode="External"/><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28575</xdr:colOff>
      <xdr:row>1</xdr:row>
      <xdr:rowOff>9525</xdr:rowOff>
    </xdr:from>
    <xdr:ext cx="5553075" cy="8077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8</xdr:row>
      <xdr:rowOff>19050</xdr:rowOff>
    </xdr:from>
    <xdr:ext cx="5400675" cy="1390650"/>
    <xdr:sp>
      <xdr:nvSpPr>
        <xdr:cNvPr id="3" name="Shape 3"/>
        <xdr:cNvSpPr txBox="1"/>
      </xdr:nvSpPr>
      <xdr:spPr>
        <a:xfrm>
          <a:off x="217625" y="272775"/>
          <a:ext cx="5381700" cy="1369800"/>
        </a:xfrm>
        <a:prstGeom prst="rect">
          <a:avLst/>
        </a:prstGeom>
        <a:solidFill>
          <a:srgbClr val="B7B7B7"/>
        </a:solid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lang="en-US" sz="1100">
              <a:latin typeface="Calibri"/>
              <a:ea typeface="Calibri"/>
              <a:cs typeface="Calibri"/>
              <a:sym typeface="Calibri"/>
            </a:rPr>
            <a:t>Instructions:</a:t>
          </a:r>
          <a:endParaRPr sz="1100">
            <a:latin typeface="Calibri"/>
            <a:ea typeface="Calibri"/>
            <a:cs typeface="Calibri"/>
            <a:sym typeface="Calibri"/>
          </a:endParaRPr>
        </a:p>
        <a:p>
          <a:pPr indent="0" lvl="0" marL="0" rtl="0" algn="l">
            <a:spcBef>
              <a:spcPts val="0"/>
            </a:spcBef>
            <a:spcAft>
              <a:spcPts val="0"/>
            </a:spcAft>
            <a:buNone/>
          </a:pPr>
          <a:r>
            <a:t/>
          </a:r>
          <a:endParaRPr sz="1100">
            <a:latin typeface="Calibri"/>
            <a:ea typeface="Calibri"/>
            <a:cs typeface="Calibri"/>
            <a:sym typeface="Calibri"/>
          </a:endParaRPr>
        </a:p>
        <a:p>
          <a:pPr indent="0" lvl="0" marL="0" rtl="0" algn="l">
            <a:spcBef>
              <a:spcPts val="0"/>
            </a:spcBef>
            <a:spcAft>
              <a:spcPts val="0"/>
            </a:spcAft>
            <a:buNone/>
          </a:pPr>
          <a:r>
            <a:rPr lang="en-US" sz="1100">
              <a:latin typeface="Calibri"/>
              <a:ea typeface="Calibri"/>
              <a:cs typeface="Calibri"/>
              <a:sym typeface="Calibri"/>
            </a:rPr>
            <a:t>1. Select the type of soil from a geotech report of from </a:t>
          </a:r>
          <a:r>
            <a:rPr lang="en-US" sz="1100">
              <a:solidFill>
                <a:schemeClr val="dk1"/>
              </a:solidFill>
              <a:latin typeface="Calibri"/>
              <a:ea typeface="Calibri"/>
              <a:cs typeface="Calibri"/>
              <a:sym typeface="Calibri"/>
            </a:rPr>
            <a:t> or from NRCS web soil survey online (</a:t>
          </a:r>
          <a:r>
            <a:rPr lang="en-US" sz="1100" u="sng">
              <a:solidFill>
                <a:srgbClr val="000099"/>
              </a:solidFill>
              <a:latin typeface="Calibri"/>
              <a:ea typeface="Calibri"/>
              <a:cs typeface="Calibri"/>
              <a:sym typeface="Calibri"/>
              <a:hlinkClick r:id="rId1"/>
            </a:rPr>
            <a:t>https://websoilsurvey.sc.egov.usda.gov/App/HomePage.htm</a:t>
          </a:r>
          <a:r>
            <a:rPr lang="en-US" sz="1100">
              <a:solidFill>
                <a:schemeClr val="dk1"/>
              </a:solidFill>
              <a:latin typeface="Calibri"/>
              <a:ea typeface="Calibri"/>
              <a:cs typeface="Calibri"/>
              <a:sym typeface="Calibri"/>
            </a:rPr>
            <a:t>)</a:t>
          </a:r>
          <a:endParaRPr sz="1100">
            <a:solidFill>
              <a:schemeClr val="dk1"/>
            </a:solidFill>
            <a:latin typeface="Calibri"/>
            <a:ea typeface="Calibri"/>
            <a:cs typeface="Calibri"/>
            <a:sym typeface="Calibri"/>
          </a:endParaRPr>
        </a:p>
        <a:p>
          <a:pPr indent="0" lvl="0" marL="0" rtl="0" algn="l">
            <a:spcBef>
              <a:spcPts val="0"/>
            </a:spcBef>
            <a:spcAft>
              <a:spcPts val="0"/>
            </a:spcAft>
            <a:buNone/>
          </a:pPr>
          <a:r>
            <a:rPr lang="en-US" sz="1100">
              <a:solidFill>
                <a:schemeClr val="dk1"/>
              </a:solidFill>
              <a:latin typeface="Calibri"/>
              <a:ea typeface="Calibri"/>
              <a:cs typeface="Calibri"/>
              <a:sym typeface="Calibri"/>
            </a:rPr>
            <a:t>2. Assume values and fill in all yellow cells </a:t>
          </a:r>
          <a:endParaRPr sz="1100">
            <a:solidFill>
              <a:schemeClr val="dk1"/>
            </a:solidFill>
            <a:latin typeface="Calibri"/>
            <a:ea typeface="Calibri"/>
            <a:cs typeface="Calibri"/>
            <a:sym typeface="Calibri"/>
          </a:endParaRPr>
        </a:p>
        <a:p>
          <a:pPr indent="0" lvl="0" marL="0" rtl="0" algn="l">
            <a:spcBef>
              <a:spcPts val="0"/>
            </a:spcBef>
            <a:spcAft>
              <a:spcPts val="0"/>
            </a:spcAft>
            <a:buNone/>
          </a:pPr>
          <a:r>
            <a:rPr lang="en-US" sz="1100">
              <a:solidFill>
                <a:schemeClr val="dk1"/>
              </a:solidFill>
              <a:latin typeface="Calibri"/>
              <a:ea typeface="Calibri"/>
              <a:cs typeface="Calibri"/>
              <a:sym typeface="Calibri"/>
            </a:rPr>
            <a:t>3. Read if all values meet the design requirements based on Bearing Strength, Lateral Strength and Uplift Strength Assessment.</a:t>
          </a:r>
          <a:endParaRPr sz="1100">
            <a:solidFill>
              <a:schemeClr val="dk1"/>
            </a:solidFill>
            <a:latin typeface="Calibri"/>
            <a:ea typeface="Calibri"/>
            <a:cs typeface="Calibri"/>
            <a:sym typeface="Calibri"/>
          </a:endParaRPr>
        </a:p>
      </xdr:txBody>
    </xdr:sp>
    <xdr:clientData fLocksWithSheet="0"/>
  </xdr:oneCellAnchor>
  <xdr:oneCellAnchor>
    <xdr:from>
      <xdr:col>1</xdr:col>
      <xdr:colOff>295275</xdr:colOff>
      <xdr:row>1</xdr:row>
      <xdr:rowOff>133350</xdr:rowOff>
    </xdr:from>
    <xdr:ext cx="1628775" cy="7048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LA%20Pole%20Barn%20Calculation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y%20Drive/JLA%20Design/022.113%20Knitter/Calculations/Calculation%20Sheets%20-Knitter%2005252022.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Design Criteria"/>
      <sheetName val="Loads"/>
      <sheetName val="Beams"/>
      <sheetName val="Rafters"/>
      <sheetName val="Sheet2"/>
    </sheetNames>
    <sheetDataSet>
      <sheetData sheetId="0"/>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ject Info"/>
      <sheetName val="Design Criteria"/>
      <sheetName val="Loads"/>
      <sheetName val="Roof Frame"/>
      <sheetName val="Floor Joists"/>
      <sheetName val="Beams"/>
      <sheetName val="Door &amp; Window Headers "/>
      <sheetName val="Columns"/>
      <sheetName val="Foundation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27.86"/>
    <col customWidth="1" min="3" max="3" width="63.71"/>
    <col customWidth="1" min="4" max="23" width="8.0"/>
  </cols>
  <sheetData>
    <row r="1" ht="18.0" customHeight="1">
      <c r="A1" s="1" t="s">
        <v>0</v>
      </c>
      <c r="B1" s="2"/>
      <c r="C1" s="3"/>
    </row>
    <row r="2" ht="59.25" customHeight="1">
      <c r="A2" s="4" t="s">
        <v>1</v>
      </c>
      <c r="B2" s="2"/>
      <c r="C2" s="3"/>
    </row>
    <row r="3" ht="12.75" customHeight="1">
      <c r="A3" s="5"/>
      <c r="B3" s="6"/>
      <c r="C3" s="6"/>
    </row>
    <row r="4" ht="18.0" customHeight="1">
      <c r="A4" s="7" t="s">
        <v>2</v>
      </c>
      <c r="B4" s="8"/>
      <c r="C4" s="9"/>
    </row>
    <row r="5" ht="27.75" customHeight="1">
      <c r="A5" s="4" t="s">
        <v>3</v>
      </c>
      <c r="B5" s="2"/>
      <c r="C5" s="3"/>
    </row>
    <row r="6" ht="12.75" customHeight="1">
      <c r="A6" s="10" t="s">
        <v>4</v>
      </c>
      <c r="B6" s="3"/>
      <c r="C6" s="11" t="s">
        <v>5</v>
      </c>
    </row>
    <row r="7" ht="12.75" customHeight="1">
      <c r="A7" s="12" t="s">
        <v>6</v>
      </c>
      <c r="B7" s="3"/>
      <c r="C7" s="13" t="s">
        <v>7</v>
      </c>
    </row>
    <row r="8" ht="12.75" customHeight="1">
      <c r="A8" s="14" t="s">
        <v>8</v>
      </c>
      <c r="B8" s="3"/>
      <c r="C8" s="15" t="s">
        <v>9</v>
      </c>
    </row>
    <row r="9" ht="12.75" customHeight="1">
      <c r="A9" s="16" t="s">
        <v>10</v>
      </c>
      <c r="B9" s="3"/>
      <c r="C9" s="15" t="s">
        <v>11</v>
      </c>
    </row>
    <row r="10" ht="12.75" customHeight="1">
      <c r="A10" s="17" t="s">
        <v>12</v>
      </c>
      <c r="B10" s="3"/>
      <c r="C10" s="15" t="s">
        <v>13</v>
      </c>
    </row>
    <row r="11" ht="12.75" customHeight="1">
      <c r="A11" s="18" t="s">
        <v>14</v>
      </c>
      <c r="B11" s="3"/>
      <c r="C11" s="15" t="s">
        <v>15</v>
      </c>
    </row>
    <row r="12" ht="12.75" customHeight="1">
      <c r="A12" s="19" t="s">
        <v>16</v>
      </c>
      <c r="B12" s="3"/>
      <c r="C12" s="15" t="s">
        <v>17</v>
      </c>
    </row>
    <row r="13" ht="12.75" customHeight="1">
      <c r="A13" s="20"/>
    </row>
    <row r="14" ht="18.0" customHeight="1">
      <c r="A14" s="1" t="s">
        <v>18</v>
      </c>
      <c r="B14" s="2"/>
      <c r="C14" s="3"/>
    </row>
    <row r="15" ht="48.0" customHeight="1">
      <c r="A15" s="4" t="s">
        <v>19</v>
      </c>
      <c r="B15" s="2"/>
      <c r="C15" s="3"/>
      <c r="D15" s="21"/>
      <c r="E15" s="21"/>
      <c r="F15" s="21"/>
      <c r="G15" s="21"/>
      <c r="H15" s="21"/>
      <c r="I15" s="21"/>
      <c r="J15" s="21"/>
      <c r="K15" s="21"/>
      <c r="L15" s="21"/>
      <c r="M15" s="21"/>
      <c r="N15" s="21"/>
      <c r="O15" s="21"/>
      <c r="P15" s="21"/>
      <c r="Q15" s="21"/>
      <c r="R15" s="21"/>
      <c r="S15" s="21"/>
      <c r="T15" s="21"/>
      <c r="U15" s="21"/>
      <c r="V15" s="21"/>
      <c r="W15" s="21"/>
    </row>
    <row r="16" ht="12.75" customHeight="1">
      <c r="A16" s="22"/>
    </row>
    <row r="17" ht="18.0" customHeight="1">
      <c r="A17" s="1" t="s">
        <v>20</v>
      </c>
      <c r="B17" s="2"/>
      <c r="C17" s="3"/>
    </row>
    <row r="18" ht="50.25" customHeight="1">
      <c r="A18" s="4" t="s">
        <v>21</v>
      </c>
      <c r="B18" s="2"/>
      <c r="C18" s="3"/>
    </row>
    <row r="19" ht="12.75" customHeight="1">
      <c r="A19" s="5"/>
      <c r="B19" s="6"/>
      <c r="C19" s="6"/>
    </row>
    <row r="20" ht="18.0" customHeight="1">
      <c r="A20" s="1" t="s">
        <v>22</v>
      </c>
      <c r="B20" s="2"/>
      <c r="C20" s="3"/>
    </row>
    <row r="21" ht="63.0" customHeight="1">
      <c r="A21" s="4" t="s">
        <v>23</v>
      </c>
      <c r="B21" s="2"/>
      <c r="C21" s="3"/>
    </row>
    <row r="22" ht="13.5" customHeight="1">
      <c r="A22" s="23"/>
      <c r="B22" s="6"/>
      <c r="C22" s="6"/>
    </row>
    <row r="23" ht="18.0" customHeight="1">
      <c r="A23" s="24" t="s">
        <v>24</v>
      </c>
      <c r="B23" s="25"/>
      <c r="C23" s="26"/>
    </row>
    <row r="24" ht="12.75" customHeight="1">
      <c r="A24" s="27" t="s">
        <v>25</v>
      </c>
      <c r="B24" s="27" t="s">
        <v>26</v>
      </c>
      <c r="C24" s="28" t="s">
        <v>27</v>
      </c>
    </row>
    <row r="25" ht="12.75" customHeight="1">
      <c r="A25" s="29">
        <v>1.0</v>
      </c>
      <c r="B25" s="13" t="s">
        <v>28</v>
      </c>
      <c r="C25" s="13" t="s">
        <v>29</v>
      </c>
    </row>
    <row r="26" ht="25.5" customHeight="1">
      <c r="A26" s="29">
        <v>2.0</v>
      </c>
      <c r="B26" s="13" t="s">
        <v>30</v>
      </c>
      <c r="C26" s="13" t="s">
        <v>31</v>
      </c>
    </row>
    <row r="27" ht="38.25" customHeight="1">
      <c r="A27" s="29">
        <v>3.0</v>
      </c>
      <c r="B27" s="13" t="s">
        <v>32</v>
      </c>
      <c r="C27" s="13" t="s">
        <v>33</v>
      </c>
    </row>
    <row r="28" ht="12.75" customHeight="1">
      <c r="A28" s="29">
        <v>4.0</v>
      </c>
      <c r="B28" s="13" t="s">
        <v>34</v>
      </c>
      <c r="C28" s="13" t="s">
        <v>35</v>
      </c>
    </row>
    <row r="29" ht="51.0" customHeight="1">
      <c r="A29" s="29">
        <v>5.0</v>
      </c>
      <c r="B29" s="13" t="s">
        <v>36</v>
      </c>
      <c r="C29" s="13" t="s">
        <v>37</v>
      </c>
    </row>
    <row r="30" ht="25.5" customHeight="1">
      <c r="A30" s="29">
        <v>6.0</v>
      </c>
      <c r="B30" s="13" t="s">
        <v>38</v>
      </c>
      <c r="C30" s="13" t="s">
        <v>39</v>
      </c>
    </row>
    <row r="31" ht="25.5" customHeight="1">
      <c r="A31" s="29">
        <v>7.0</v>
      </c>
      <c r="B31" s="13" t="s">
        <v>40</v>
      </c>
      <c r="C31" s="13" t="s">
        <v>41</v>
      </c>
    </row>
    <row r="32" ht="12.75" customHeight="1">
      <c r="A32" s="29">
        <v>8.0</v>
      </c>
      <c r="B32" s="13" t="s">
        <v>42</v>
      </c>
      <c r="C32" s="13" t="s">
        <v>43</v>
      </c>
    </row>
    <row r="33" ht="25.5" customHeight="1">
      <c r="A33" s="29">
        <v>9.0</v>
      </c>
      <c r="B33" s="13" t="s">
        <v>44</v>
      </c>
      <c r="C33" s="13" t="s">
        <v>45</v>
      </c>
    </row>
    <row r="34" ht="25.5" customHeight="1">
      <c r="A34" s="29">
        <v>10.0</v>
      </c>
      <c r="B34" s="13" t="s">
        <v>46</v>
      </c>
      <c r="C34" s="13" t="s">
        <v>47</v>
      </c>
    </row>
    <row r="35" ht="38.25" customHeight="1">
      <c r="A35" s="29">
        <v>11.0</v>
      </c>
      <c r="B35" s="13" t="s">
        <v>48</v>
      </c>
      <c r="C35" s="13" t="s">
        <v>49</v>
      </c>
    </row>
    <row r="36" ht="25.5" customHeight="1">
      <c r="A36" s="29">
        <v>12.0</v>
      </c>
      <c r="B36" s="13" t="s">
        <v>50</v>
      </c>
      <c r="C36" s="13" t="s">
        <v>51</v>
      </c>
    </row>
    <row r="37" ht="12.75" customHeight="1">
      <c r="A37" s="29">
        <v>13.0</v>
      </c>
      <c r="B37" s="13" t="s">
        <v>52</v>
      </c>
      <c r="C37" s="13" t="s">
        <v>53</v>
      </c>
    </row>
    <row r="38" ht="25.5" customHeight="1">
      <c r="A38" s="29">
        <v>14.0</v>
      </c>
      <c r="B38" s="13" t="s">
        <v>54</v>
      </c>
      <c r="C38" s="13" t="s">
        <v>55</v>
      </c>
    </row>
    <row r="39" ht="12.75" customHeight="1">
      <c r="A39" s="30"/>
      <c r="B39" s="31"/>
      <c r="C39" s="31"/>
    </row>
    <row r="40" ht="18.0" customHeight="1">
      <c r="A40" s="1" t="s">
        <v>56</v>
      </c>
      <c r="B40" s="2"/>
      <c r="C40" s="3"/>
    </row>
    <row r="41" ht="33.0" customHeight="1">
      <c r="A41" s="4" t="s">
        <v>57</v>
      </c>
      <c r="B41" s="2"/>
      <c r="C41" s="3"/>
    </row>
    <row r="42" ht="12.75" customHeight="1">
      <c r="A42" s="23"/>
      <c r="B42" s="6"/>
      <c r="C42" s="6"/>
    </row>
    <row r="43" ht="18.0" customHeight="1">
      <c r="A43" s="32" t="s">
        <v>58</v>
      </c>
      <c r="B43" s="2"/>
      <c r="C43" s="3"/>
    </row>
    <row r="44" ht="12.75" customHeight="1">
      <c r="A44" s="33" t="s">
        <v>59</v>
      </c>
      <c r="B44" s="3"/>
      <c r="C44" s="11" t="s">
        <v>60</v>
      </c>
    </row>
    <row r="45" ht="25.5" customHeight="1">
      <c r="A45" s="4" t="s">
        <v>61</v>
      </c>
      <c r="B45" s="3"/>
      <c r="C45" s="34" t="s">
        <v>62</v>
      </c>
      <c r="D45" s="35"/>
      <c r="E45" s="35"/>
      <c r="F45" s="35"/>
      <c r="G45" s="35"/>
      <c r="H45" s="35"/>
      <c r="I45" s="35"/>
      <c r="J45" s="35"/>
      <c r="K45" s="35"/>
      <c r="L45" s="35"/>
      <c r="M45" s="35"/>
      <c r="N45" s="35"/>
      <c r="O45" s="35"/>
      <c r="P45" s="35"/>
      <c r="Q45" s="35"/>
      <c r="R45" s="35"/>
      <c r="S45" s="35"/>
      <c r="T45" s="35"/>
      <c r="U45" s="35"/>
      <c r="V45" s="35"/>
      <c r="W45" s="35"/>
    </row>
    <row r="46" ht="38.25" customHeight="1">
      <c r="A46" s="4" t="s">
        <v>63</v>
      </c>
      <c r="B46" s="3"/>
      <c r="C46" s="34" t="s">
        <v>64</v>
      </c>
    </row>
    <row r="47" ht="69.75" customHeight="1">
      <c r="A47" s="4" t="s">
        <v>65</v>
      </c>
      <c r="B47" s="3"/>
      <c r="C47" s="34" t="s">
        <v>66</v>
      </c>
    </row>
    <row r="48" ht="44.25" customHeight="1">
      <c r="A48" s="4" t="s">
        <v>67</v>
      </c>
      <c r="B48" s="3"/>
      <c r="C48" s="34" t="s">
        <v>68</v>
      </c>
    </row>
    <row r="49" ht="57.75" customHeight="1">
      <c r="A49" s="4" t="s">
        <v>69</v>
      </c>
      <c r="B49" s="3"/>
      <c r="C49" s="34" t="s">
        <v>70</v>
      </c>
    </row>
    <row r="50" ht="58.5" customHeight="1">
      <c r="A50" s="4" t="s">
        <v>71</v>
      </c>
      <c r="B50" s="3"/>
      <c r="C50" s="34" t="s">
        <v>72</v>
      </c>
    </row>
    <row r="51" ht="51.0" customHeight="1">
      <c r="A51" s="4" t="s">
        <v>73</v>
      </c>
      <c r="B51" s="3"/>
      <c r="C51" s="34" t="s">
        <v>74</v>
      </c>
    </row>
    <row r="52" ht="12.75" customHeight="1">
      <c r="A52" s="36"/>
      <c r="B52" s="37"/>
      <c r="C52" s="37"/>
    </row>
    <row r="53" ht="18.0" customHeight="1">
      <c r="A53" s="32" t="s">
        <v>75</v>
      </c>
      <c r="B53" s="2"/>
      <c r="C53" s="3"/>
    </row>
    <row r="54" ht="42.0" customHeight="1">
      <c r="A54" s="4" t="s">
        <v>76</v>
      </c>
      <c r="B54" s="2"/>
      <c r="C54" s="3"/>
    </row>
    <row r="55" ht="12.75" customHeight="1">
      <c r="A55" s="38"/>
      <c r="B55" s="6"/>
      <c r="C55" s="6"/>
    </row>
    <row r="56" ht="18.0" customHeight="1">
      <c r="A56" s="39" t="s">
        <v>77</v>
      </c>
      <c r="B56" s="2"/>
      <c r="C56" s="3"/>
    </row>
    <row r="57" ht="40.5" customHeight="1">
      <c r="A57" s="40" t="s">
        <v>78</v>
      </c>
      <c r="B57" s="2"/>
      <c r="C57" s="3"/>
    </row>
    <row r="58" ht="12.75" customHeight="1">
      <c r="A58" s="36"/>
      <c r="B58" s="37"/>
      <c r="C58" s="37"/>
    </row>
    <row r="59" ht="12.75" customHeight="1">
      <c r="A59" s="36"/>
      <c r="B59" s="37"/>
      <c r="C59" s="37"/>
    </row>
    <row r="60" ht="12.75" customHeight="1">
      <c r="A60" s="36"/>
      <c r="B60" s="37"/>
      <c r="C60" s="37"/>
    </row>
    <row r="61" ht="12.75" customHeight="1">
      <c r="A61" s="36"/>
      <c r="B61" s="37"/>
      <c r="C61" s="37"/>
    </row>
    <row r="62" ht="12.75" customHeight="1">
      <c r="A62" s="36"/>
      <c r="B62" s="37"/>
      <c r="C62" s="37"/>
    </row>
    <row r="63" ht="12.75" customHeight="1">
      <c r="A63" s="36"/>
      <c r="B63" s="37"/>
      <c r="C63" s="37"/>
    </row>
    <row r="64" ht="12.75" customHeight="1">
      <c r="A64" s="36"/>
      <c r="B64" s="37"/>
      <c r="C64" s="37"/>
    </row>
    <row r="65" ht="12.75" customHeight="1">
      <c r="A65" s="36"/>
      <c r="B65" s="37"/>
      <c r="C65" s="37"/>
    </row>
    <row r="66" ht="12.75" customHeight="1">
      <c r="A66" s="36"/>
      <c r="B66" s="37"/>
      <c r="C66" s="37"/>
    </row>
    <row r="67" ht="12.75" customHeight="1">
      <c r="A67" s="36"/>
      <c r="B67" s="37"/>
    </row>
    <row r="68" ht="12.75" customHeight="1">
      <c r="A68" s="36"/>
      <c r="B68" s="37"/>
    </row>
    <row r="69" ht="12.75" customHeight="1">
      <c r="A69" s="36"/>
      <c r="B69" s="37"/>
    </row>
    <row r="70" ht="12.75" customHeight="1">
      <c r="A70" s="36"/>
      <c r="B70" s="37"/>
    </row>
    <row r="71" ht="12.75" customHeight="1">
      <c r="A71" s="36"/>
      <c r="B71" s="37"/>
      <c r="C71" s="37"/>
    </row>
    <row r="72" ht="12.75" customHeight="1">
      <c r="A72" s="36"/>
      <c r="B72" s="37"/>
      <c r="C72" s="37"/>
    </row>
    <row r="73" ht="12.75" customHeight="1">
      <c r="A73" s="36"/>
      <c r="B73" s="37"/>
      <c r="C73" s="37"/>
    </row>
    <row r="74" ht="12.75" customHeight="1">
      <c r="A74" s="36"/>
      <c r="B74" s="37"/>
      <c r="C74" s="37"/>
    </row>
    <row r="75" ht="12.75" customHeight="1">
      <c r="A75" s="36"/>
      <c r="B75" s="37"/>
    </row>
    <row r="76" ht="12.75" customHeight="1">
      <c r="A76" s="36"/>
      <c r="B76" s="37"/>
      <c r="C76" s="37"/>
    </row>
    <row r="77" ht="12.75" customHeight="1">
      <c r="A77" s="36"/>
      <c r="B77" s="37"/>
      <c r="C77" s="37"/>
    </row>
    <row r="78" ht="12.75" customHeight="1">
      <c r="A78" s="36"/>
      <c r="B78" s="37"/>
      <c r="C78" s="37"/>
    </row>
    <row r="79" ht="12.75" customHeight="1">
      <c r="A79" s="36"/>
      <c r="B79" s="37"/>
      <c r="C79" s="37"/>
    </row>
    <row r="80" ht="12.75" customHeight="1">
      <c r="A80" s="36"/>
      <c r="B80" s="37"/>
      <c r="C80" s="37"/>
    </row>
    <row r="81" ht="12.75" customHeight="1">
      <c r="A81" s="36"/>
      <c r="B81" s="37"/>
      <c r="C81" s="37"/>
    </row>
    <row r="82" ht="12.75" customHeight="1">
      <c r="A82" s="36"/>
      <c r="B82" s="37"/>
    </row>
    <row r="83" ht="12.75" customHeight="1">
      <c r="A83" s="36"/>
      <c r="B83" s="37"/>
      <c r="C83" s="37"/>
    </row>
    <row r="84" ht="12.75" customHeight="1">
      <c r="A84" s="36"/>
      <c r="B84" s="37"/>
      <c r="C84" s="37"/>
    </row>
    <row r="85" ht="12.75" customHeight="1">
      <c r="A85" s="36"/>
      <c r="B85" s="37"/>
      <c r="C85" s="37"/>
    </row>
    <row r="86" ht="12.75" customHeight="1">
      <c r="A86" s="36"/>
      <c r="B86" s="37"/>
      <c r="C86" s="37"/>
    </row>
    <row r="87" ht="12.75" customHeight="1">
      <c r="A87" s="36"/>
      <c r="B87" s="37"/>
      <c r="C87" s="37"/>
    </row>
    <row r="88" ht="12.75" customHeight="1">
      <c r="A88" s="36"/>
      <c r="B88" s="37"/>
      <c r="C88" s="37"/>
    </row>
    <row r="89" ht="12.75" customHeight="1">
      <c r="A89" s="36"/>
      <c r="B89" s="37"/>
      <c r="C89" s="37"/>
    </row>
    <row r="90" ht="12.75" customHeight="1">
      <c r="A90" s="36"/>
      <c r="B90" s="37"/>
    </row>
    <row r="91" ht="12.75" customHeight="1">
      <c r="A91" s="36"/>
      <c r="B91" s="37"/>
    </row>
    <row r="92" ht="12.75" customHeight="1">
      <c r="A92" s="36"/>
      <c r="B92" s="37"/>
    </row>
    <row r="93" ht="12.75" customHeight="1">
      <c r="A93" s="36"/>
      <c r="B93" s="41"/>
      <c r="C93" s="41"/>
    </row>
    <row r="94" ht="24.75" customHeight="1">
      <c r="A94" s="36"/>
      <c r="B94" s="41"/>
      <c r="C94" s="41"/>
    </row>
    <row r="95" ht="12.75" customHeight="1">
      <c r="A95" s="36"/>
      <c r="B95" s="41"/>
      <c r="C95" s="41"/>
    </row>
    <row r="96" ht="12.75" customHeight="1">
      <c r="A96" s="36"/>
      <c r="B96" s="37"/>
      <c r="C96" s="37"/>
    </row>
    <row r="97" ht="12.75" customHeight="1">
      <c r="A97" s="36"/>
      <c r="B97" s="37"/>
      <c r="C97" s="37"/>
    </row>
    <row r="98" ht="12.75" customHeight="1">
      <c r="A98" s="36"/>
      <c r="B98" s="37"/>
      <c r="C98" s="37"/>
    </row>
    <row r="99" ht="12.75" customHeight="1">
      <c r="A99" s="36"/>
      <c r="B99" s="37"/>
      <c r="C99" s="37"/>
    </row>
    <row r="100" ht="12.75" customHeight="1">
      <c r="A100" s="36"/>
      <c r="B100" s="37"/>
      <c r="C100" s="37"/>
    </row>
    <row r="101" ht="12.75" customHeight="1">
      <c r="A101" s="36"/>
      <c r="B101" s="37"/>
      <c r="C101" s="37"/>
    </row>
    <row r="102" ht="12.75" customHeight="1">
      <c r="A102" s="36"/>
      <c r="B102" s="37"/>
      <c r="C102" s="37"/>
    </row>
    <row r="103" ht="12.75" customHeight="1">
      <c r="A103" s="36"/>
      <c r="B103" s="37"/>
      <c r="C103" s="37"/>
    </row>
    <row r="104" ht="12.75" customHeight="1">
      <c r="A104" s="36"/>
      <c r="B104" s="37"/>
      <c r="C104" s="37"/>
    </row>
    <row r="105" ht="12.75" customHeight="1">
      <c r="A105" s="36"/>
      <c r="B105" s="37"/>
      <c r="C105" s="37"/>
    </row>
    <row r="106" ht="12.75" customHeight="1">
      <c r="A106" s="36"/>
      <c r="B106" s="37"/>
      <c r="C106" s="37"/>
    </row>
    <row r="107" ht="12.75" customHeight="1">
      <c r="A107" s="36"/>
      <c r="B107" s="37"/>
      <c r="C107" s="37"/>
    </row>
    <row r="108" ht="12.75" customHeight="1">
      <c r="A108" s="36"/>
      <c r="B108" s="37"/>
      <c r="C108" s="37"/>
    </row>
    <row r="109" ht="12.75" customHeight="1">
      <c r="A109" s="36"/>
      <c r="B109" s="37"/>
    </row>
    <row r="110" ht="12.75" customHeight="1">
      <c r="A110" s="36"/>
      <c r="B110" s="37"/>
    </row>
    <row r="111" ht="12.75" customHeight="1">
      <c r="A111" s="36"/>
      <c r="B111" s="37"/>
    </row>
    <row r="112" ht="12.75" customHeight="1">
      <c r="A112" s="36"/>
      <c r="B112" s="37"/>
    </row>
    <row r="113" ht="12.75" customHeight="1">
      <c r="A113" s="36"/>
      <c r="B113" s="37"/>
    </row>
    <row r="114" ht="12.75" customHeight="1">
      <c r="A114" s="36"/>
      <c r="B114" s="37"/>
    </row>
    <row r="115" ht="12.75" customHeight="1">
      <c r="A115" s="36"/>
      <c r="B115" s="37"/>
    </row>
    <row r="116" ht="12.75" customHeight="1">
      <c r="A116" s="36"/>
      <c r="B116" s="37"/>
      <c r="C116" s="37"/>
    </row>
    <row r="117" ht="12.75" customHeight="1">
      <c r="A117" s="36"/>
      <c r="B117" s="37"/>
      <c r="C117" s="37"/>
    </row>
    <row r="118" ht="12.75" customHeight="1">
      <c r="A118" s="36"/>
      <c r="B118" s="37"/>
      <c r="C118" s="37"/>
    </row>
    <row r="119" ht="12.75" customHeight="1">
      <c r="A119" s="36"/>
      <c r="B119" s="37"/>
      <c r="C119" s="37"/>
    </row>
    <row r="120" ht="12.75" customHeight="1">
      <c r="A120" s="36"/>
      <c r="B120" s="37"/>
      <c r="C120" s="37"/>
    </row>
    <row r="121" ht="12.75" customHeight="1">
      <c r="A121" s="36"/>
      <c r="B121" s="37"/>
      <c r="C121" s="37"/>
    </row>
    <row r="122" ht="12.75" customHeight="1">
      <c r="A122" s="36"/>
      <c r="B122" s="37"/>
      <c r="C122" s="37"/>
    </row>
    <row r="123" ht="12.75" customHeight="1">
      <c r="A123" s="36"/>
      <c r="B123" s="37"/>
      <c r="C123" s="37"/>
    </row>
    <row r="124" ht="12.75" customHeight="1">
      <c r="A124" s="36"/>
      <c r="B124" s="37"/>
      <c r="C124" s="37"/>
    </row>
    <row r="125" ht="12.75" customHeight="1">
      <c r="A125" s="36"/>
      <c r="B125" s="37"/>
      <c r="C125" s="37"/>
    </row>
    <row r="126" ht="12.75" customHeight="1">
      <c r="A126" s="36"/>
      <c r="B126" s="37"/>
      <c r="C126" s="37"/>
    </row>
    <row r="127" ht="12.75" customHeight="1">
      <c r="A127" s="36"/>
      <c r="B127" s="37"/>
      <c r="C127" s="37"/>
    </row>
    <row r="128" ht="12.75" customHeight="1">
      <c r="A128" s="36"/>
      <c r="B128" s="37"/>
      <c r="C128" s="37"/>
    </row>
    <row r="129" ht="12.75" customHeight="1">
      <c r="A129" s="36"/>
      <c r="B129" s="37"/>
      <c r="C129" s="37"/>
    </row>
    <row r="130" ht="12.75" customHeight="1">
      <c r="A130" s="36"/>
      <c r="B130" s="37"/>
      <c r="C130" s="37"/>
    </row>
    <row r="131" ht="12.75" customHeight="1">
      <c r="A131" s="36"/>
      <c r="B131" s="37"/>
    </row>
    <row r="132" ht="12.75" customHeight="1">
      <c r="A132" s="36"/>
      <c r="B132" s="37"/>
      <c r="C132" s="37"/>
    </row>
    <row r="133" ht="12.75" customHeight="1">
      <c r="A133" s="36"/>
      <c r="B133" s="37"/>
      <c r="C133" s="37"/>
    </row>
    <row r="134" ht="12.75" customHeight="1">
      <c r="A134" s="36"/>
      <c r="B134" s="37"/>
      <c r="C134" s="37"/>
    </row>
    <row r="135" ht="12.75" customHeight="1">
      <c r="A135" s="36"/>
      <c r="B135" s="37"/>
      <c r="C135" s="37"/>
    </row>
    <row r="136" ht="12.75" customHeight="1">
      <c r="A136" s="36"/>
      <c r="B136" s="37"/>
      <c r="C136" s="37"/>
    </row>
    <row r="137" ht="12.75" customHeight="1">
      <c r="A137" s="36"/>
      <c r="B137" s="37"/>
      <c r="C137" s="37"/>
    </row>
    <row r="138" ht="12.75" customHeight="1">
      <c r="A138" s="36"/>
      <c r="B138" s="37"/>
      <c r="C138" s="37"/>
    </row>
    <row r="139" ht="12.75" customHeight="1">
      <c r="A139" s="36"/>
      <c r="B139" s="37"/>
      <c r="C139" s="37"/>
    </row>
    <row r="140" ht="12.75" customHeight="1">
      <c r="A140" s="36"/>
      <c r="B140" s="37"/>
      <c r="C140" s="37"/>
    </row>
    <row r="141" ht="12.75" customHeight="1">
      <c r="A141" s="36"/>
      <c r="B141" s="37"/>
      <c r="C141" s="37"/>
    </row>
    <row r="142" ht="12.75" customHeight="1">
      <c r="A142" s="36"/>
      <c r="B142" s="37"/>
      <c r="C142" s="37"/>
    </row>
    <row r="143" ht="12.75" customHeight="1">
      <c r="A143" s="36"/>
      <c r="B143" s="37"/>
      <c r="C143" s="37"/>
    </row>
    <row r="144" ht="12.75" customHeight="1">
      <c r="A144" s="36"/>
      <c r="B144" s="37"/>
      <c r="C144" s="37"/>
    </row>
    <row r="145" ht="12.75" customHeight="1">
      <c r="A145" s="36"/>
      <c r="B145" s="37"/>
      <c r="C145" s="37"/>
    </row>
    <row r="146" ht="12.75" customHeight="1">
      <c r="A146" s="36"/>
      <c r="B146" s="37"/>
      <c r="C146" s="37"/>
    </row>
    <row r="147" ht="12.75" customHeight="1">
      <c r="A147" s="36"/>
      <c r="B147" s="37"/>
      <c r="C147" s="37"/>
    </row>
    <row r="148" ht="12.75" customHeight="1">
      <c r="A148" s="36"/>
      <c r="B148" s="37"/>
      <c r="C148" s="37"/>
    </row>
    <row r="149" ht="12.75" customHeight="1">
      <c r="A149" s="36"/>
      <c r="B149" s="37"/>
      <c r="C149" s="37"/>
    </row>
    <row r="150" ht="12.75" customHeight="1">
      <c r="A150" s="36"/>
      <c r="B150" s="37"/>
      <c r="C150" s="37"/>
    </row>
    <row r="151" ht="12.75" customHeight="1">
      <c r="A151" s="36"/>
      <c r="B151" s="37"/>
      <c r="C151" s="37"/>
    </row>
    <row r="152" ht="12.75" customHeight="1">
      <c r="A152" s="36"/>
      <c r="B152" s="37"/>
      <c r="C152" s="37"/>
    </row>
    <row r="153" ht="12.75" customHeight="1">
      <c r="A153" s="36"/>
      <c r="B153" s="37"/>
      <c r="C153" s="37"/>
    </row>
    <row r="154" ht="12.75" customHeight="1">
      <c r="A154" s="36"/>
      <c r="B154" s="37"/>
      <c r="C154" s="37"/>
    </row>
    <row r="155" ht="12.75" customHeight="1">
      <c r="A155" s="36"/>
      <c r="B155" s="37"/>
      <c r="C155" s="37"/>
    </row>
    <row r="156" ht="12.75" customHeight="1">
      <c r="A156" s="36"/>
      <c r="B156" s="37"/>
      <c r="C156" s="37"/>
    </row>
    <row r="157" ht="12.75" customHeight="1">
      <c r="A157" s="36"/>
      <c r="B157" s="37"/>
      <c r="C157" s="37"/>
    </row>
    <row r="158" ht="12.75" customHeight="1">
      <c r="A158" s="36"/>
      <c r="B158" s="37"/>
      <c r="C158" s="37"/>
    </row>
    <row r="159" ht="12.75" customHeight="1">
      <c r="A159" s="36"/>
      <c r="B159" s="37"/>
      <c r="C159" s="37"/>
    </row>
    <row r="160" ht="12.75" customHeight="1">
      <c r="A160" s="36"/>
      <c r="B160" s="37"/>
      <c r="C160" s="37"/>
    </row>
    <row r="161" ht="12.75" customHeight="1">
      <c r="A161" s="36"/>
      <c r="B161" s="37"/>
      <c r="C161" s="37"/>
    </row>
    <row r="162" ht="12.75" customHeight="1">
      <c r="A162" s="36"/>
      <c r="B162" s="37"/>
      <c r="C162" s="37"/>
    </row>
    <row r="163" ht="12.75" customHeight="1">
      <c r="A163" s="36"/>
      <c r="B163" s="37"/>
      <c r="C163" s="37"/>
    </row>
    <row r="164" ht="12.75" customHeight="1">
      <c r="A164" s="36"/>
      <c r="B164" s="37"/>
      <c r="C164" s="37"/>
    </row>
    <row r="165" ht="12.75" customHeight="1">
      <c r="A165" s="36"/>
      <c r="B165" s="37"/>
      <c r="C165" s="37"/>
    </row>
    <row r="166" ht="12.75" customHeight="1">
      <c r="A166" s="36"/>
      <c r="B166" s="37"/>
      <c r="C166" s="37"/>
    </row>
    <row r="167" ht="12.75" customHeight="1">
      <c r="A167" s="36"/>
      <c r="B167" s="37"/>
      <c r="C167" s="37"/>
    </row>
    <row r="168" ht="12.75" customHeight="1">
      <c r="A168" s="36"/>
      <c r="B168" s="37"/>
      <c r="C168" s="37"/>
    </row>
    <row r="169" ht="12.75" customHeight="1">
      <c r="A169" s="36"/>
      <c r="B169" s="37"/>
      <c r="C169" s="37"/>
    </row>
    <row r="170" ht="12.75" customHeight="1">
      <c r="A170" s="36"/>
      <c r="B170" s="37"/>
      <c r="C170" s="37"/>
    </row>
    <row r="171" ht="12.75" customHeight="1">
      <c r="A171" s="36"/>
      <c r="B171" s="37"/>
      <c r="C171" s="37"/>
    </row>
    <row r="172" ht="12.75" customHeight="1">
      <c r="A172" s="36"/>
      <c r="B172" s="37"/>
      <c r="C172" s="37"/>
    </row>
    <row r="173" ht="12.75" customHeight="1">
      <c r="A173" s="36"/>
      <c r="B173" s="37"/>
      <c r="C173" s="37"/>
    </row>
    <row r="174" ht="12.75" customHeight="1">
      <c r="A174" s="36"/>
      <c r="B174" s="37"/>
      <c r="C174" s="37"/>
    </row>
    <row r="175" ht="12.75" customHeight="1">
      <c r="A175" s="36"/>
      <c r="B175" s="37"/>
      <c r="C175" s="37"/>
    </row>
    <row r="176" ht="12.75" customHeight="1">
      <c r="A176" s="36"/>
      <c r="B176" s="37"/>
      <c r="C176" s="37"/>
    </row>
    <row r="177" ht="12.75" customHeight="1">
      <c r="A177" s="36"/>
      <c r="B177" s="37"/>
      <c r="C177" s="37"/>
    </row>
    <row r="178" ht="12.75" customHeight="1">
      <c r="A178" s="36"/>
      <c r="B178" s="37"/>
      <c r="C178" s="37"/>
    </row>
    <row r="179" ht="12.75" customHeight="1">
      <c r="A179" s="36"/>
      <c r="B179" s="37"/>
      <c r="C179" s="37"/>
    </row>
    <row r="180" ht="12.75" customHeight="1">
      <c r="A180" s="36"/>
      <c r="B180" s="37"/>
      <c r="C180" s="37"/>
    </row>
    <row r="181" ht="12.75" customHeight="1">
      <c r="A181" s="36"/>
      <c r="B181" s="37"/>
      <c r="C181" s="37"/>
    </row>
    <row r="182" ht="12.75" customHeight="1">
      <c r="A182" s="36"/>
      <c r="B182" s="37"/>
      <c r="C182" s="37"/>
    </row>
    <row r="183" ht="12.75" customHeight="1">
      <c r="A183" s="36"/>
      <c r="B183" s="37"/>
      <c r="C183" s="37"/>
    </row>
    <row r="184" ht="12.75" customHeight="1">
      <c r="A184" s="36"/>
      <c r="B184" s="37"/>
      <c r="C184" s="37"/>
    </row>
    <row r="185" ht="12.75" customHeight="1">
      <c r="A185" s="36"/>
      <c r="B185" s="37"/>
      <c r="C185" s="37"/>
    </row>
    <row r="186" ht="12.75" customHeight="1">
      <c r="A186" s="36"/>
      <c r="B186" s="37"/>
      <c r="C186" s="37"/>
    </row>
    <row r="187" ht="12.75" customHeight="1">
      <c r="A187" s="36"/>
      <c r="B187" s="37"/>
      <c r="C187" s="37"/>
    </row>
    <row r="188" ht="12.75" customHeight="1">
      <c r="A188" s="36"/>
      <c r="B188" s="37"/>
      <c r="C188" s="37"/>
    </row>
    <row r="189" ht="12.75" customHeight="1">
      <c r="A189" s="36"/>
      <c r="B189" s="37"/>
      <c r="C189" s="37"/>
    </row>
    <row r="190" ht="12.75" customHeight="1">
      <c r="A190" s="36"/>
      <c r="B190" s="37"/>
      <c r="C190" s="37"/>
    </row>
    <row r="191" ht="12.75" customHeight="1">
      <c r="A191" s="36"/>
      <c r="B191" s="37"/>
      <c r="C191" s="37"/>
    </row>
    <row r="192" ht="12.75" customHeight="1">
      <c r="A192" s="36"/>
      <c r="B192" s="37"/>
      <c r="C192" s="37"/>
    </row>
    <row r="193" ht="12.75" customHeight="1">
      <c r="A193" s="36"/>
      <c r="B193" s="37"/>
      <c r="C193" s="37"/>
    </row>
    <row r="194" ht="12.75" customHeight="1">
      <c r="A194" s="36"/>
      <c r="B194" s="37"/>
      <c r="C194" s="37"/>
    </row>
    <row r="195" ht="12.75" customHeight="1">
      <c r="A195" s="36"/>
      <c r="B195" s="37"/>
      <c r="C195" s="37"/>
    </row>
    <row r="196" ht="12.75" customHeight="1">
      <c r="A196" s="36"/>
      <c r="B196" s="37"/>
      <c r="C196" s="37"/>
    </row>
    <row r="197" ht="12.75" customHeight="1">
      <c r="A197" s="36"/>
      <c r="B197" s="37"/>
      <c r="C197" s="37"/>
    </row>
    <row r="198" ht="12.75" customHeight="1">
      <c r="A198" s="36"/>
      <c r="B198" s="37"/>
      <c r="C198" s="37"/>
    </row>
    <row r="199" ht="12.75" customHeight="1">
      <c r="A199" s="36"/>
      <c r="B199" s="37"/>
      <c r="C199" s="37"/>
    </row>
    <row r="200" ht="12.75" customHeight="1">
      <c r="A200" s="36"/>
      <c r="B200" s="37"/>
      <c r="C200" s="37"/>
    </row>
    <row r="201" ht="12.75" customHeight="1">
      <c r="A201" s="36"/>
      <c r="B201" s="37"/>
      <c r="C201" s="37"/>
    </row>
    <row r="202" ht="12.75" customHeight="1">
      <c r="A202" s="36"/>
      <c r="B202" s="37"/>
      <c r="C202" s="37"/>
    </row>
    <row r="203" ht="12.75" customHeight="1">
      <c r="A203" s="36"/>
      <c r="B203" s="37"/>
      <c r="C203" s="37"/>
    </row>
    <row r="204" ht="12.75" customHeight="1">
      <c r="A204" s="36"/>
      <c r="B204" s="37"/>
      <c r="C204" s="37"/>
    </row>
    <row r="205" ht="12.75" customHeight="1">
      <c r="A205" s="36"/>
      <c r="B205" s="37"/>
      <c r="C205" s="37"/>
    </row>
    <row r="206" ht="12.75" customHeight="1">
      <c r="A206" s="36"/>
      <c r="B206" s="37"/>
      <c r="C206" s="37"/>
    </row>
    <row r="207" ht="12.75" customHeight="1">
      <c r="A207" s="36"/>
      <c r="B207" s="37"/>
      <c r="C207" s="37"/>
    </row>
    <row r="208" ht="12.75" customHeight="1">
      <c r="A208" s="36"/>
      <c r="B208" s="37"/>
      <c r="C208" s="37"/>
    </row>
    <row r="209" ht="12.75" customHeight="1">
      <c r="A209" s="36"/>
      <c r="B209" s="37"/>
      <c r="C209" s="37"/>
    </row>
    <row r="210" ht="12.75" customHeight="1">
      <c r="A210" s="36"/>
      <c r="B210" s="37"/>
      <c r="C210" s="37"/>
    </row>
    <row r="211" ht="12.75" customHeight="1">
      <c r="A211" s="36"/>
      <c r="B211" s="37"/>
      <c r="C211" s="37"/>
    </row>
    <row r="212" ht="12.75" customHeight="1">
      <c r="A212" s="36"/>
      <c r="B212" s="37"/>
      <c r="C212" s="37"/>
    </row>
    <row r="213" ht="12.75" customHeight="1">
      <c r="A213" s="36"/>
      <c r="B213" s="37"/>
      <c r="C213" s="37"/>
    </row>
    <row r="214" ht="12.75" customHeight="1">
      <c r="A214" s="36"/>
      <c r="B214" s="37"/>
      <c r="C214" s="37"/>
    </row>
    <row r="215" ht="12.75" customHeight="1">
      <c r="A215" s="36"/>
      <c r="B215" s="37"/>
      <c r="C215" s="37"/>
    </row>
    <row r="216" ht="12.75" customHeight="1">
      <c r="A216" s="36"/>
      <c r="B216" s="37"/>
      <c r="C216" s="37"/>
    </row>
    <row r="217" ht="12.75" customHeight="1">
      <c r="A217" s="36"/>
      <c r="B217" s="37"/>
      <c r="C217" s="37"/>
    </row>
    <row r="218" ht="12.75" customHeight="1">
      <c r="A218" s="36"/>
      <c r="B218" s="37"/>
      <c r="C218" s="37"/>
    </row>
    <row r="219" ht="12.75" customHeight="1">
      <c r="A219" s="36"/>
      <c r="B219" s="37"/>
      <c r="C219" s="37"/>
    </row>
    <row r="220" ht="12.75" customHeight="1">
      <c r="A220" s="36"/>
      <c r="B220" s="37"/>
      <c r="C220" s="37"/>
    </row>
    <row r="221" ht="12.75" customHeight="1">
      <c r="A221" s="36"/>
      <c r="B221" s="37"/>
      <c r="C221" s="37"/>
    </row>
    <row r="222" ht="12.75" customHeight="1">
      <c r="A222" s="36"/>
      <c r="B222" s="37"/>
      <c r="C222" s="37"/>
    </row>
    <row r="223" ht="12.75" customHeight="1">
      <c r="A223" s="36"/>
      <c r="B223" s="37"/>
      <c r="C223" s="37"/>
    </row>
    <row r="224" ht="12.75" customHeight="1">
      <c r="A224" s="36"/>
      <c r="B224" s="37"/>
      <c r="C224" s="37"/>
    </row>
    <row r="225" ht="12.75" customHeight="1">
      <c r="A225" s="36"/>
      <c r="B225" s="37"/>
      <c r="C225" s="37"/>
    </row>
    <row r="226" ht="12.75" customHeight="1">
      <c r="A226" s="36"/>
      <c r="B226" s="37"/>
      <c r="C226" s="37"/>
    </row>
    <row r="227" ht="12.75" customHeight="1">
      <c r="A227" s="36"/>
      <c r="B227" s="37"/>
      <c r="C227" s="37"/>
    </row>
    <row r="228" ht="12.75" customHeight="1">
      <c r="A228" s="36"/>
      <c r="B228" s="37"/>
      <c r="C228" s="37"/>
    </row>
    <row r="229" ht="12.75" customHeight="1">
      <c r="A229" s="36"/>
      <c r="B229" s="37"/>
      <c r="C229" s="37"/>
    </row>
    <row r="230" ht="12.75" customHeight="1">
      <c r="A230" s="36"/>
      <c r="B230" s="37"/>
      <c r="C230" s="37"/>
    </row>
    <row r="231" ht="12.75" customHeight="1">
      <c r="A231" s="36"/>
      <c r="B231" s="37"/>
      <c r="C231" s="37"/>
    </row>
    <row r="232" ht="12.75" customHeight="1">
      <c r="A232" s="36"/>
      <c r="B232" s="37"/>
      <c r="C232" s="37"/>
    </row>
    <row r="233" ht="12.75" customHeight="1">
      <c r="A233" s="36"/>
      <c r="B233" s="37"/>
      <c r="C233" s="37"/>
    </row>
    <row r="234" ht="12.75" customHeight="1">
      <c r="A234" s="36"/>
      <c r="B234" s="37"/>
      <c r="C234" s="37"/>
    </row>
    <row r="235" ht="12.75" customHeight="1">
      <c r="A235" s="36"/>
      <c r="B235" s="37"/>
      <c r="C235" s="37"/>
    </row>
    <row r="236" ht="12.75" customHeight="1">
      <c r="A236" s="36"/>
      <c r="B236" s="37"/>
      <c r="C236" s="37"/>
    </row>
    <row r="237" ht="12.75" customHeight="1">
      <c r="A237" s="36"/>
      <c r="B237" s="37"/>
      <c r="C237" s="37"/>
    </row>
    <row r="238" ht="12.75" customHeight="1">
      <c r="A238" s="36"/>
      <c r="B238" s="37"/>
      <c r="C238" s="37"/>
    </row>
    <row r="239" ht="12.75" customHeight="1">
      <c r="A239" s="36"/>
      <c r="B239" s="37"/>
      <c r="C239" s="37"/>
    </row>
    <row r="240" ht="12.75" customHeight="1">
      <c r="A240" s="36"/>
      <c r="B240" s="37"/>
      <c r="C240" s="37"/>
    </row>
    <row r="241" ht="12.75" customHeight="1">
      <c r="A241" s="36"/>
      <c r="B241" s="37"/>
      <c r="C241" s="37"/>
    </row>
    <row r="242" ht="12.75" customHeight="1">
      <c r="A242" s="36"/>
      <c r="B242" s="37"/>
      <c r="C242" s="37"/>
    </row>
    <row r="243" ht="12.75" customHeight="1">
      <c r="A243" s="36"/>
      <c r="B243" s="37"/>
      <c r="C243" s="37"/>
    </row>
    <row r="244" ht="12.75" customHeight="1">
      <c r="A244" s="36"/>
      <c r="B244" s="37"/>
      <c r="C244" s="37"/>
    </row>
    <row r="245" ht="12.75" customHeight="1">
      <c r="A245" s="36"/>
      <c r="B245" s="37"/>
      <c r="C245" s="37"/>
    </row>
    <row r="246" ht="12.75" customHeight="1">
      <c r="A246" s="36"/>
      <c r="B246" s="37"/>
      <c r="C246" s="37"/>
    </row>
    <row r="247" ht="12.75" customHeight="1">
      <c r="A247" s="36"/>
      <c r="B247" s="37"/>
      <c r="C247" s="37"/>
    </row>
    <row r="248" ht="12.75" customHeight="1">
      <c r="A248" s="36"/>
      <c r="B248" s="37"/>
      <c r="C248" s="37"/>
    </row>
    <row r="249" ht="12.75" customHeight="1">
      <c r="A249" s="36"/>
      <c r="B249" s="37"/>
      <c r="C249" s="37"/>
    </row>
    <row r="250" ht="12.75" customHeight="1">
      <c r="A250" s="36"/>
      <c r="B250" s="37"/>
      <c r="C250" s="37"/>
    </row>
    <row r="251" ht="12.75" customHeight="1">
      <c r="A251" s="36"/>
      <c r="B251" s="37"/>
      <c r="C251" s="37"/>
    </row>
    <row r="252" ht="12.75" customHeight="1">
      <c r="A252" s="36"/>
      <c r="B252" s="37"/>
      <c r="C252" s="37"/>
    </row>
    <row r="253" ht="12.75" customHeight="1">
      <c r="A253" s="36"/>
      <c r="B253" s="37"/>
      <c r="C253" s="37"/>
    </row>
    <row r="254" ht="12.75" customHeight="1">
      <c r="A254" s="36"/>
      <c r="B254" s="37"/>
      <c r="C254" s="37"/>
    </row>
    <row r="255" ht="12.75" customHeight="1">
      <c r="A255" s="36"/>
      <c r="B255" s="37"/>
      <c r="C255" s="37"/>
    </row>
    <row r="256" ht="12.75" customHeight="1">
      <c r="A256" s="36"/>
      <c r="B256" s="37"/>
      <c r="C256" s="37"/>
    </row>
    <row r="257" ht="12.75" customHeight="1">
      <c r="A257" s="36"/>
      <c r="B257" s="37"/>
      <c r="C257" s="37"/>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7">
    <mergeCell ref="A1:C1"/>
    <mergeCell ref="A2:C2"/>
    <mergeCell ref="A3:C3"/>
    <mergeCell ref="A4:C4"/>
    <mergeCell ref="A5:C5"/>
    <mergeCell ref="A6:B6"/>
    <mergeCell ref="A7:B7"/>
    <mergeCell ref="A8:B8"/>
    <mergeCell ref="A9:B9"/>
    <mergeCell ref="A10:B10"/>
    <mergeCell ref="A11:B11"/>
    <mergeCell ref="A12:B12"/>
    <mergeCell ref="A13:C13"/>
    <mergeCell ref="A14:C14"/>
    <mergeCell ref="A15:C15"/>
    <mergeCell ref="A16:C16"/>
    <mergeCell ref="A17:C17"/>
    <mergeCell ref="A18:C18"/>
    <mergeCell ref="A19:C19"/>
    <mergeCell ref="A20:C20"/>
    <mergeCell ref="A21:C21"/>
    <mergeCell ref="A22:C22"/>
    <mergeCell ref="A23:C23"/>
    <mergeCell ref="A40:C40"/>
    <mergeCell ref="A41:C41"/>
    <mergeCell ref="A42:C42"/>
    <mergeCell ref="A43:C43"/>
    <mergeCell ref="A44:B44"/>
    <mergeCell ref="A45:B45"/>
    <mergeCell ref="A46:B46"/>
    <mergeCell ref="A47:B47"/>
    <mergeCell ref="A48:B48"/>
    <mergeCell ref="A49:B49"/>
    <mergeCell ref="A50:B50"/>
    <mergeCell ref="A51:B51"/>
    <mergeCell ref="A53:C53"/>
    <mergeCell ref="A54:C54"/>
    <mergeCell ref="A55:C55"/>
    <mergeCell ref="A56:C56"/>
    <mergeCell ref="A57:C57"/>
    <mergeCell ref="B67:C67"/>
    <mergeCell ref="B68:C68"/>
    <mergeCell ref="B109:C109"/>
    <mergeCell ref="B110:C110"/>
    <mergeCell ref="B111:C111"/>
    <mergeCell ref="B112:C112"/>
    <mergeCell ref="B113:C113"/>
    <mergeCell ref="B114:C114"/>
    <mergeCell ref="B115:C115"/>
    <mergeCell ref="B131:C131"/>
    <mergeCell ref="B69:C69"/>
    <mergeCell ref="B70:C70"/>
    <mergeCell ref="B75:C75"/>
    <mergeCell ref="B82:C82"/>
    <mergeCell ref="B90:C90"/>
    <mergeCell ref="B91:C91"/>
    <mergeCell ref="B92:C9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86"/>
    <col customWidth="1" min="2" max="2" width="107.86"/>
    <col customWidth="1" min="3" max="22" width="8.0"/>
  </cols>
  <sheetData>
    <row r="1" ht="15.75" customHeight="1">
      <c r="A1" s="42"/>
      <c r="B1" s="42"/>
    </row>
    <row r="2" ht="18.0" customHeight="1">
      <c r="A2" s="32" t="s">
        <v>79</v>
      </c>
      <c r="B2" s="3"/>
    </row>
    <row r="3" ht="12.75" customHeight="1">
      <c r="A3" s="43" t="s">
        <v>80</v>
      </c>
      <c r="B3" s="13" t="s">
        <v>81</v>
      </c>
    </row>
    <row r="4" ht="12.75" customHeight="1">
      <c r="A4" s="43" t="s">
        <v>82</v>
      </c>
      <c r="B4" s="13" t="s">
        <v>83</v>
      </c>
    </row>
    <row r="5" ht="25.5" customHeight="1">
      <c r="A5" s="43" t="s">
        <v>84</v>
      </c>
      <c r="B5" s="13" t="s">
        <v>85</v>
      </c>
    </row>
    <row r="6" ht="38.25" customHeight="1">
      <c r="A6" s="43" t="s">
        <v>86</v>
      </c>
      <c r="B6" s="13" t="s">
        <v>87</v>
      </c>
    </row>
    <row r="7" ht="38.25" customHeight="1">
      <c r="A7" s="43" t="s">
        <v>88</v>
      </c>
      <c r="B7" s="13" t="s">
        <v>89</v>
      </c>
    </row>
    <row r="8" ht="25.5" customHeight="1">
      <c r="A8" s="43" t="s">
        <v>90</v>
      </c>
      <c r="B8" s="13" t="s">
        <v>91</v>
      </c>
    </row>
    <row r="9" ht="51.0" customHeight="1">
      <c r="A9" s="43" t="s">
        <v>92</v>
      </c>
      <c r="B9" s="13" t="s">
        <v>93</v>
      </c>
    </row>
    <row r="10" ht="25.5" customHeight="1">
      <c r="A10" s="43" t="s">
        <v>94</v>
      </c>
      <c r="B10" s="13" t="s">
        <v>95</v>
      </c>
    </row>
    <row r="11" ht="38.25" customHeight="1">
      <c r="A11" s="43" t="s">
        <v>96</v>
      </c>
      <c r="B11" s="13" t="s">
        <v>97</v>
      </c>
    </row>
    <row r="12" ht="16.5" customHeight="1">
      <c r="A12" s="43" t="s">
        <v>98</v>
      </c>
      <c r="B12" s="13" t="s">
        <v>99</v>
      </c>
    </row>
    <row r="13" ht="24.75" customHeight="1">
      <c r="A13" s="43" t="s">
        <v>100</v>
      </c>
      <c r="B13" s="13" t="s">
        <v>101</v>
      </c>
    </row>
    <row r="14" ht="25.5" customHeight="1">
      <c r="A14" s="43" t="s">
        <v>102</v>
      </c>
      <c r="B14" s="13" t="s">
        <v>103</v>
      </c>
    </row>
    <row r="15" ht="12.75" customHeight="1">
      <c r="A15" s="43" t="s">
        <v>104</v>
      </c>
      <c r="B15" s="13" t="s">
        <v>105</v>
      </c>
    </row>
    <row r="16" ht="28.5" customHeight="1">
      <c r="A16" s="43" t="s">
        <v>106</v>
      </c>
      <c r="B16" s="13" t="s">
        <v>107</v>
      </c>
      <c r="C16" s="35"/>
      <c r="D16" s="35"/>
      <c r="E16" s="35"/>
      <c r="F16" s="35"/>
      <c r="G16" s="35"/>
      <c r="H16" s="35"/>
      <c r="I16" s="35"/>
      <c r="J16" s="35"/>
      <c r="K16" s="35"/>
      <c r="L16" s="35"/>
      <c r="M16" s="35"/>
      <c r="N16" s="35"/>
      <c r="O16" s="35"/>
      <c r="P16" s="35"/>
      <c r="Q16" s="35"/>
      <c r="R16" s="35"/>
      <c r="S16" s="35"/>
      <c r="T16" s="35"/>
      <c r="U16" s="35"/>
      <c r="V16" s="35"/>
    </row>
    <row r="17" ht="25.5" customHeight="1">
      <c r="A17" s="43" t="s">
        <v>108</v>
      </c>
      <c r="B17" s="13" t="s">
        <v>109</v>
      </c>
    </row>
    <row r="18" ht="12.75" customHeight="1">
      <c r="A18" s="44"/>
      <c r="B18" s="45"/>
    </row>
    <row r="19" ht="18.0" customHeight="1">
      <c r="A19" s="1" t="s">
        <v>110</v>
      </c>
      <c r="B19" s="3"/>
    </row>
    <row r="20" ht="12.75" customHeight="1">
      <c r="A20" s="43" t="s">
        <v>111</v>
      </c>
      <c r="B20" s="13" t="s">
        <v>112</v>
      </c>
    </row>
    <row r="21" ht="25.5" customHeight="1">
      <c r="A21" s="43" t="s">
        <v>113</v>
      </c>
      <c r="B21" s="13" t="s">
        <v>114</v>
      </c>
    </row>
    <row r="22" ht="25.5" customHeight="1">
      <c r="A22" s="43" t="s">
        <v>115</v>
      </c>
      <c r="B22" s="13" t="s">
        <v>116</v>
      </c>
    </row>
    <row r="23" ht="25.5" customHeight="1">
      <c r="A23" s="43" t="s">
        <v>117</v>
      </c>
      <c r="B23" s="13" t="s">
        <v>118</v>
      </c>
    </row>
    <row r="24" ht="38.25" customHeight="1">
      <c r="A24" s="43" t="s">
        <v>119</v>
      </c>
      <c r="B24" s="13" t="s">
        <v>120</v>
      </c>
    </row>
    <row r="25" ht="12.75" customHeight="1">
      <c r="A25" s="44"/>
      <c r="B25" s="45"/>
    </row>
    <row r="26" ht="18.0" customHeight="1">
      <c r="A26" s="1" t="s">
        <v>121</v>
      </c>
      <c r="B26" s="3"/>
    </row>
    <row r="27" ht="25.5" customHeight="1">
      <c r="A27" s="43" t="s">
        <v>122</v>
      </c>
      <c r="B27" s="13" t="s">
        <v>123</v>
      </c>
    </row>
    <row r="28" ht="38.25" customHeight="1">
      <c r="A28" s="43" t="s">
        <v>124</v>
      </c>
      <c r="B28" s="13" t="s">
        <v>125</v>
      </c>
    </row>
    <row r="29" ht="27.0" customHeight="1">
      <c r="A29" s="43" t="s">
        <v>126</v>
      </c>
      <c r="B29" s="13" t="s">
        <v>127</v>
      </c>
    </row>
    <row r="30" ht="14.25" customHeight="1">
      <c r="A30" s="43" t="s">
        <v>128</v>
      </c>
      <c r="B30" s="13" t="s">
        <v>129</v>
      </c>
    </row>
    <row r="31" ht="25.5" customHeight="1">
      <c r="A31" s="43" t="s">
        <v>130</v>
      </c>
      <c r="B31" s="13" t="s">
        <v>131</v>
      </c>
    </row>
    <row r="32" ht="12.75" customHeight="1">
      <c r="A32" s="43" t="s">
        <v>132</v>
      </c>
      <c r="B32" s="13" t="s">
        <v>133</v>
      </c>
    </row>
    <row r="33" ht="25.5" customHeight="1">
      <c r="A33" s="43" t="s">
        <v>134</v>
      </c>
      <c r="B33" s="13" t="s">
        <v>135</v>
      </c>
    </row>
    <row r="34" ht="25.5" customHeight="1">
      <c r="A34" s="43" t="s">
        <v>136</v>
      </c>
      <c r="B34" s="13" t="s">
        <v>137</v>
      </c>
    </row>
    <row r="35" ht="12.75" customHeight="1">
      <c r="A35" s="43" t="s">
        <v>138</v>
      </c>
      <c r="B35" s="13" t="s">
        <v>139</v>
      </c>
    </row>
    <row r="36" ht="25.5" customHeight="1">
      <c r="A36" s="43" t="s">
        <v>140</v>
      </c>
      <c r="B36" s="13" t="s">
        <v>141</v>
      </c>
    </row>
    <row r="37" ht="12.75" customHeight="1">
      <c r="A37" s="43" t="s">
        <v>142</v>
      </c>
      <c r="B37" s="13" t="s">
        <v>143</v>
      </c>
    </row>
    <row r="38" ht="27.0" customHeight="1">
      <c r="A38" s="43" t="s">
        <v>144</v>
      </c>
      <c r="B38" s="13" t="s">
        <v>145</v>
      </c>
    </row>
    <row r="39" ht="27.0" customHeight="1">
      <c r="A39" s="43" t="s">
        <v>146</v>
      </c>
      <c r="B39" s="13" t="s">
        <v>147</v>
      </c>
    </row>
    <row r="40" ht="12.75" customHeight="1">
      <c r="A40" s="44"/>
      <c r="B40" s="45"/>
    </row>
    <row r="41" ht="18.0" customHeight="1">
      <c r="A41" s="7" t="s">
        <v>148</v>
      </c>
      <c r="B41" s="9"/>
    </row>
    <row r="42" ht="25.5" customHeight="1">
      <c r="A42" s="43" t="s">
        <v>149</v>
      </c>
      <c r="B42" s="13" t="s">
        <v>150</v>
      </c>
    </row>
    <row r="43" ht="12.75" customHeight="1">
      <c r="A43" s="43" t="s">
        <v>151</v>
      </c>
      <c r="B43" s="13" t="s">
        <v>152</v>
      </c>
    </row>
    <row r="44" ht="38.25" customHeight="1">
      <c r="A44" s="43" t="s">
        <v>153</v>
      </c>
      <c r="B44" s="13" t="s">
        <v>154</v>
      </c>
    </row>
    <row r="45" ht="27.0" customHeight="1">
      <c r="A45" s="43" t="s">
        <v>155</v>
      </c>
      <c r="B45" s="13" t="s">
        <v>156</v>
      </c>
    </row>
    <row r="46" ht="12.75" customHeight="1">
      <c r="A46" s="43" t="s">
        <v>157</v>
      </c>
      <c r="B46" s="13" t="s">
        <v>158</v>
      </c>
    </row>
    <row r="47" ht="12.75" customHeight="1">
      <c r="A47" s="43" t="s">
        <v>159</v>
      </c>
      <c r="B47" s="13" t="s">
        <v>160</v>
      </c>
    </row>
    <row r="48" ht="51.0" customHeight="1">
      <c r="A48" s="43" t="s">
        <v>161</v>
      </c>
      <c r="B48" s="13" t="s">
        <v>162</v>
      </c>
    </row>
    <row r="49" ht="25.5" customHeight="1">
      <c r="A49" s="43" t="s">
        <v>163</v>
      </c>
      <c r="B49" s="13" t="s">
        <v>164</v>
      </c>
    </row>
    <row r="50" ht="12.75" customHeight="1">
      <c r="A50" s="43" t="s">
        <v>165</v>
      </c>
      <c r="B50" s="13" t="s">
        <v>166</v>
      </c>
    </row>
    <row r="51" ht="12.75" customHeight="1">
      <c r="A51" s="43" t="s">
        <v>167</v>
      </c>
      <c r="B51" s="13" t="s">
        <v>168</v>
      </c>
    </row>
    <row r="52" ht="25.5" customHeight="1">
      <c r="A52" s="43" t="s">
        <v>169</v>
      </c>
      <c r="B52" s="13" t="s">
        <v>170</v>
      </c>
    </row>
    <row r="53" ht="38.25" customHeight="1">
      <c r="A53" s="43" t="s">
        <v>171</v>
      </c>
      <c r="B53" s="13" t="s">
        <v>172</v>
      </c>
    </row>
    <row r="54" ht="25.5" customHeight="1">
      <c r="A54" s="43" t="s">
        <v>173</v>
      </c>
      <c r="B54" s="13" t="s">
        <v>174</v>
      </c>
    </row>
    <row r="55" ht="12.75" customHeight="1">
      <c r="A55" s="43" t="s">
        <v>175</v>
      </c>
      <c r="B55" s="13" t="s">
        <v>176</v>
      </c>
    </row>
    <row r="56" ht="12.75" customHeight="1">
      <c r="A56" s="43" t="s">
        <v>177</v>
      </c>
      <c r="B56" s="13" t="s">
        <v>178</v>
      </c>
    </row>
    <row r="57" ht="12.75" customHeight="1">
      <c r="A57" s="43" t="s">
        <v>179</v>
      </c>
      <c r="B57" s="13" t="s">
        <v>180</v>
      </c>
    </row>
    <row r="58" ht="12.75" customHeight="1">
      <c r="A58" s="20"/>
      <c r="B58" s="20"/>
    </row>
    <row r="59" ht="12.75" customHeight="1">
      <c r="A59" s="20"/>
      <c r="B59" s="20"/>
    </row>
    <row r="60" ht="18.0" customHeight="1">
      <c r="A60" s="46" t="s">
        <v>181</v>
      </c>
      <c r="B60" s="9"/>
    </row>
    <row r="61" ht="14.25" customHeight="1">
      <c r="A61" s="47" t="s">
        <v>182</v>
      </c>
      <c r="B61" s="13" t="s">
        <v>183</v>
      </c>
    </row>
    <row r="62" ht="31.5" customHeight="1">
      <c r="A62" s="47" t="s">
        <v>184</v>
      </c>
      <c r="B62" s="13" t="s">
        <v>185</v>
      </c>
    </row>
    <row r="63" ht="28.5" customHeight="1">
      <c r="A63" s="47" t="s">
        <v>186</v>
      </c>
      <c r="B63" s="13" t="s">
        <v>187</v>
      </c>
    </row>
    <row r="64" ht="12.75" customHeight="1">
      <c r="A64" s="47" t="s">
        <v>188</v>
      </c>
      <c r="B64" s="13" t="s">
        <v>189</v>
      </c>
    </row>
    <row r="65" ht="15.75" customHeight="1">
      <c r="A65" s="47" t="s">
        <v>190</v>
      </c>
      <c r="B65" s="13" t="s">
        <v>191</v>
      </c>
    </row>
    <row r="66" ht="12.75" customHeight="1">
      <c r="A66" s="47" t="s">
        <v>192</v>
      </c>
      <c r="B66" s="13" t="s">
        <v>193</v>
      </c>
    </row>
    <row r="67" ht="24.75" customHeight="1">
      <c r="A67" s="47" t="s">
        <v>194</v>
      </c>
      <c r="B67" s="13" t="s">
        <v>195</v>
      </c>
    </row>
    <row r="68" ht="14.25" customHeight="1">
      <c r="A68" s="47" t="s">
        <v>196</v>
      </c>
      <c r="B68" s="13" t="s">
        <v>197</v>
      </c>
    </row>
    <row r="69" ht="15.75" customHeight="1">
      <c r="A69" s="47" t="s">
        <v>198</v>
      </c>
      <c r="B69" s="13" t="s">
        <v>199</v>
      </c>
    </row>
    <row r="70" ht="15.75" customHeight="1">
      <c r="A70" s="47" t="s">
        <v>200</v>
      </c>
      <c r="B70" s="13" t="s">
        <v>201</v>
      </c>
    </row>
    <row r="71" ht="15.75" customHeight="1">
      <c r="A71" s="47" t="s">
        <v>202</v>
      </c>
      <c r="B71" s="13" t="s">
        <v>203</v>
      </c>
    </row>
    <row r="72" ht="15.75" customHeight="1">
      <c r="A72" s="47" t="s">
        <v>204</v>
      </c>
      <c r="B72" s="13" t="s">
        <v>205</v>
      </c>
    </row>
    <row r="73" ht="15.75" customHeight="1">
      <c r="A73" s="47" t="s">
        <v>206</v>
      </c>
      <c r="B73" s="13" t="s">
        <v>205</v>
      </c>
    </row>
    <row r="74" ht="12.75" customHeight="1">
      <c r="A74" s="47" t="s">
        <v>207</v>
      </c>
      <c r="B74" s="13" t="s">
        <v>208</v>
      </c>
    </row>
    <row r="75" ht="15.75" customHeight="1">
      <c r="A75" s="47" t="s">
        <v>209</v>
      </c>
      <c r="B75" s="13" t="s">
        <v>210</v>
      </c>
    </row>
    <row r="76" ht="25.5" customHeight="1">
      <c r="A76" s="47" t="s">
        <v>211</v>
      </c>
      <c r="B76" s="13" t="s">
        <v>212</v>
      </c>
    </row>
    <row r="77" ht="15.75" customHeight="1">
      <c r="A77" s="47" t="s">
        <v>213</v>
      </c>
      <c r="B77" s="13" t="s">
        <v>214</v>
      </c>
    </row>
    <row r="78" ht="15.75" customHeight="1">
      <c r="A78" s="47" t="s">
        <v>215</v>
      </c>
      <c r="B78" s="13" t="s">
        <v>216</v>
      </c>
    </row>
    <row r="79" ht="15.75" customHeight="1">
      <c r="A79" s="47" t="s">
        <v>217</v>
      </c>
      <c r="B79" s="13" t="s">
        <v>218</v>
      </c>
    </row>
    <row r="80" ht="15.75" customHeight="1">
      <c r="A80" s="47" t="s">
        <v>219</v>
      </c>
      <c r="B80" s="13" t="s">
        <v>220</v>
      </c>
    </row>
    <row r="81" ht="15.75" customHeight="1">
      <c r="A81" s="47" t="s">
        <v>221</v>
      </c>
      <c r="B81" s="13" t="s">
        <v>222</v>
      </c>
    </row>
    <row r="82" ht="15.75" customHeight="1">
      <c r="A82" s="47" t="s">
        <v>223</v>
      </c>
      <c r="B82" s="13" t="s">
        <v>224</v>
      </c>
    </row>
    <row r="83" ht="15.75" customHeight="1">
      <c r="A83" s="47" t="s">
        <v>225</v>
      </c>
      <c r="B83" s="13" t="s">
        <v>226</v>
      </c>
    </row>
    <row r="84" ht="15.75" customHeight="1">
      <c r="A84" s="47" t="s">
        <v>227</v>
      </c>
      <c r="B84" s="13" t="s">
        <v>228</v>
      </c>
    </row>
    <row r="85" ht="15.75" customHeight="1">
      <c r="A85" s="47" t="s">
        <v>229</v>
      </c>
      <c r="B85" s="13" t="s">
        <v>230</v>
      </c>
    </row>
    <row r="86" ht="27.0" customHeight="1">
      <c r="A86" s="47" t="s">
        <v>231</v>
      </c>
      <c r="B86" s="13" t="s">
        <v>232</v>
      </c>
    </row>
    <row r="87" ht="15.75" customHeight="1">
      <c r="A87" s="47" t="s">
        <v>233</v>
      </c>
      <c r="B87" s="13" t="s">
        <v>234</v>
      </c>
    </row>
    <row r="88" ht="15.75" customHeight="1">
      <c r="A88" s="47" t="s">
        <v>235</v>
      </c>
      <c r="B88" s="13" t="s">
        <v>236</v>
      </c>
    </row>
    <row r="89" ht="15.75" customHeight="1">
      <c r="A89" s="47" t="s">
        <v>237</v>
      </c>
      <c r="B89" s="13" t="s">
        <v>238</v>
      </c>
    </row>
    <row r="90" ht="15.75" customHeight="1">
      <c r="A90" s="47" t="s">
        <v>239</v>
      </c>
      <c r="B90" s="13" t="s">
        <v>240</v>
      </c>
    </row>
    <row r="91" ht="15.75" customHeight="1">
      <c r="A91" s="47" t="s">
        <v>241</v>
      </c>
      <c r="B91" s="13" t="s">
        <v>242</v>
      </c>
    </row>
    <row r="92" ht="15.75" customHeight="1">
      <c r="A92" s="47" t="s">
        <v>243</v>
      </c>
      <c r="B92" s="48" t="s">
        <v>244</v>
      </c>
    </row>
    <row r="93" ht="15.75" customHeight="1">
      <c r="A93" s="47" t="s">
        <v>245</v>
      </c>
      <c r="B93" s="48" t="s">
        <v>246</v>
      </c>
    </row>
    <row r="94" ht="15.75" customHeight="1">
      <c r="A94" s="47" t="s">
        <v>247</v>
      </c>
      <c r="B94" s="13" t="s">
        <v>248</v>
      </c>
    </row>
    <row r="95" ht="14.25" customHeight="1">
      <c r="A95" s="47" t="s">
        <v>249</v>
      </c>
      <c r="B95" s="13" t="s">
        <v>250</v>
      </c>
    </row>
    <row r="96" ht="12.75" customHeight="1">
      <c r="A96" s="47" t="s">
        <v>251</v>
      </c>
      <c r="B96" s="13" t="s">
        <v>252</v>
      </c>
    </row>
    <row r="97" ht="15.75" customHeight="1">
      <c r="A97" s="47" t="s">
        <v>253</v>
      </c>
      <c r="B97" s="13" t="s">
        <v>254</v>
      </c>
    </row>
    <row r="98" ht="15.75" customHeight="1">
      <c r="A98" s="47" t="s">
        <v>255</v>
      </c>
      <c r="B98" s="13" t="s">
        <v>256</v>
      </c>
    </row>
    <row r="99" ht="14.25" customHeight="1">
      <c r="A99" s="47" t="s">
        <v>257</v>
      </c>
      <c r="B99" s="13" t="s">
        <v>258</v>
      </c>
    </row>
    <row r="100" ht="15.75" customHeight="1">
      <c r="A100" s="47" t="s">
        <v>259</v>
      </c>
      <c r="B100" s="13" t="s">
        <v>260</v>
      </c>
    </row>
    <row r="101" ht="15.75" customHeight="1">
      <c r="A101" s="47" t="s">
        <v>261</v>
      </c>
      <c r="B101" s="13" t="s">
        <v>262</v>
      </c>
    </row>
    <row r="102" ht="15.75" customHeight="1">
      <c r="A102" s="47" t="s">
        <v>263</v>
      </c>
      <c r="B102" s="13" t="s">
        <v>264</v>
      </c>
    </row>
    <row r="103" ht="15.75" customHeight="1">
      <c r="A103" s="47" t="s">
        <v>265</v>
      </c>
      <c r="B103" s="13" t="s">
        <v>266</v>
      </c>
    </row>
    <row r="104" ht="25.5" customHeight="1">
      <c r="A104" s="47" t="s">
        <v>267</v>
      </c>
      <c r="B104" s="13" t="s">
        <v>268</v>
      </c>
    </row>
    <row r="105" ht="15.75" customHeight="1">
      <c r="A105" s="47" t="s">
        <v>269</v>
      </c>
      <c r="B105" s="13" t="s">
        <v>270</v>
      </c>
    </row>
    <row r="106" ht="15.75" customHeight="1">
      <c r="A106" s="47" t="s">
        <v>271</v>
      </c>
      <c r="B106" s="13" t="s">
        <v>272</v>
      </c>
    </row>
    <row r="107" ht="15.75" customHeight="1">
      <c r="A107" s="47" t="s">
        <v>273</v>
      </c>
      <c r="B107" s="13" t="s">
        <v>274</v>
      </c>
    </row>
    <row r="108" ht="12.75" customHeight="1">
      <c r="A108" s="47" t="s">
        <v>275</v>
      </c>
      <c r="B108" s="13" t="s">
        <v>276</v>
      </c>
    </row>
    <row r="109" ht="15.75" customHeight="1">
      <c r="A109" s="47" t="s">
        <v>277</v>
      </c>
      <c r="B109" s="13" t="s">
        <v>278</v>
      </c>
    </row>
    <row r="110" ht="15.75" customHeight="1">
      <c r="A110" s="47" t="s">
        <v>279</v>
      </c>
      <c r="B110" s="13" t="s">
        <v>280</v>
      </c>
    </row>
    <row r="111" ht="15.75" customHeight="1">
      <c r="A111" s="47" t="s">
        <v>281</v>
      </c>
      <c r="B111" s="48" t="s">
        <v>282</v>
      </c>
    </row>
    <row r="112" ht="15.75" customHeight="1">
      <c r="A112" s="47" t="s">
        <v>283</v>
      </c>
      <c r="B112" s="48" t="s">
        <v>284</v>
      </c>
    </row>
    <row r="113" ht="15.75" customHeight="1">
      <c r="A113" s="47" t="s">
        <v>285</v>
      </c>
      <c r="B113" s="13" t="s">
        <v>286</v>
      </c>
    </row>
    <row r="114" ht="15.75" customHeight="1">
      <c r="A114" s="47" t="s">
        <v>287</v>
      </c>
      <c r="B114" s="13" t="s">
        <v>288</v>
      </c>
    </row>
    <row r="115" ht="15.75" customHeight="1">
      <c r="A115" s="47" t="s">
        <v>289</v>
      </c>
      <c r="B115" s="13" t="s">
        <v>290</v>
      </c>
    </row>
    <row r="116" ht="15.75" customHeight="1">
      <c r="A116" s="47" t="s">
        <v>291</v>
      </c>
      <c r="B116" s="13" t="s">
        <v>292</v>
      </c>
    </row>
    <row r="117" ht="15.75" customHeight="1">
      <c r="A117" s="47" t="s">
        <v>293</v>
      </c>
      <c r="B117" s="13" t="s">
        <v>294</v>
      </c>
    </row>
    <row r="118" ht="15.75" customHeight="1">
      <c r="A118" s="47" t="s">
        <v>295</v>
      </c>
      <c r="B118" s="13" t="s">
        <v>296</v>
      </c>
    </row>
    <row r="119" ht="15.75" customHeight="1">
      <c r="A119" s="47" t="s">
        <v>297</v>
      </c>
      <c r="B119" s="48" t="s">
        <v>298</v>
      </c>
    </row>
    <row r="120" ht="15.75" customHeight="1">
      <c r="A120" s="47" t="s">
        <v>299</v>
      </c>
      <c r="B120" s="48" t="s">
        <v>300</v>
      </c>
    </row>
    <row r="121" ht="14.25" customHeight="1">
      <c r="A121" s="47" t="s">
        <v>301</v>
      </c>
      <c r="B121" s="13" t="s">
        <v>302</v>
      </c>
    </row>
    <row r="122" ht="15.75" customHeight="1">
      <c r="A122" s="47" t="s">
        <v>303</v>
      </c>
      <c r="B122" s="13" t="s">
        <v>304</v>
      </c>
    </row>
    <row r="123" ht="15.75" customHeight="1">
      <c r="A123" s="47" t="s">
        <v>305</v>
      </c>
      <c r="B123" s="13" t="s">
        <v>306</v>
      </c>
    </row>
    <row r="124" ht="15.75" customHeight="1">
      <c r="A124" s="47" t="s">
        <v>307</v>
      </c>
      <c r="B124" s="13" t="s">
        <v>308</v>
      </c>
    </row>
    <row r="125" ht="15.75" customHeight="1">
      <c r="A125" s="47" t="s">
        <v>309</v>
      </c>
      <c r="B125" s="13" t="s">
        <v>310</v>
      </c>
    </row>
    <row r="126" ht="15.75" customHeight="1">
      <c r="A126" s="47" t="s">
        <v>311</v>
      </c>
      <c r="B126" s="13" t="s">
        <v>312</v>
      </c>
    </row>
    <row r="127" ht="12.75" customHeight="1">
      <c r="A127" s="47" t="s">
        <v>313</v>
      </c>
      <c r="B127" s="13" t="s">
        <v>314</v>
      </c>
    </row>
    <row r="128" ht="15.75" customHeight="1">
      <c r="A128" s="47" t="s">
        <v>315</v>
      </c>
      <c r="B128" s="48" t="s">
        <v>316</v>
      </c>
    </row>
    <row r="129" ht="15.75" customHeight="1">
      <c r="A129" s="47" t="s">
        <v>317</v>
      </c>
      <c r="B129" s="48" t="s">
        <v>318</v>
      </c>
    </row>
    <row r="130" ht="15.75" customHeight="1">
      <c r="A130" s="47" t="s">
        <v>319</v>
      </c>
      <c r="B130" s="13" t="s">
        <v>320</v>
      </c>
    </row>
    <row r="131" ht="27.0" customHeight="1">
      <c r="A131" s="47" t="s">
        <v>321</v>
      </c>
      <c r="B131" s="13" t="s">
        <v>322</v>
      </c>
    </row>
    <row r="132" ht="15.75" customHeight="1">
      <c r="A132" s="47" t="s">
        <v>323</v>
      </c>
      <c r="B132" s="13" t="s">
        <v>324</v>
      </c>
    </row>
    <row r="133" ht="12.75" customHeight="1">
      <c r="A133" s="47" t="s">
        <v>325</v>
      </c>
      <c r="B133" s="13" t="s">
        <v>326</v>
      </c>
    </row>
    <row r="134" ht="15.75" customHeight="1">
      <c r="A134" s="47" t="s">
        <v>327</v>
      </c>
      <c r="B134" s="13" t="s">
        <v>328</v>
      </c>
    </row>
    <row r="135" ht="15.75" customHeight="1">
      <c r="A135" s="47" t="s">
        <v>329</v>
      </c>
      <c r="B135" s="13" t="s">
        <v>330</v>
      </c>
    </row>
    <row r="136" ht="15.75" customHeight="1">
      <c r="A136" s="47" t="s">
        <v>331</v>
      </c>
      <c r="B136" s="13" t="s">
        <v>332</v>
      </c>
    </row>
    <row r="137" ht="15.75" customHeight="1">
      <c r="A137" s="47" t="s">
        <v>333</v>
      </c>
      <c r="B137" s="13" t="s">
        <v>334</v>
      </c>
    </row>
    <row r="138" ht="25.5" customHeight="1">
      <c r="A138" s="47" t="s">
        <v>335</v>
      </c>
      <c r="B138" s="13" t="s">
        <v>336</v>
      </c>
    </row>
    <row r="139" ht="25.5" customHeight="1">
      <c r="A139" s="47" t="s">
        <v>337</v>
      </c>
      <c r="B139" s="13" t="s">
        <v>336</v>
      </c>
    </row>
    <row r="140" ht="15.75" customHeight="1">
      <c r="A140" s="47" t="s">
        <v>338</v>
      </c>
      <c r="B140" s="13" t="s">
        <v>339</v>
      </c>
    </row>
    <row r="141" ht="27.0" customHeight="1">
      <c r="A141" s="47" t="s">
        <v>340</v>
      </c>
      <c r="B141" s="13" t="s">
        <v>341</v>
      </c>
    </row>
    <row r="142" ht="15.75" customHeight="1">
      <c r="A142" s="47" t="s">
        <v>342</v>
      </c>
      <c r="B142" s="13" t="s">
        <v>343</v>
      </c>
    </row>
    <row r="143" ht="15.75" customHeight="1">
      <c r="A143" s="47" t="s">
        <v>344</v>
      </c>
      <c r="B143" s="13" t="s">
        <v>345</v>
      </c>
    </row>
    <row r="144" ht="15.75" customHeight="1">
      <c r="A144" s="47" t="s">
        <v>346</v>
      </c>
      <c r="B144" s="13" t="s">
        <v>347</v>
      </c>
    </row>
    <row r="145" ht="12.75" customHeight="1">
      <c r="A145" s="47" t="s">
        <v>348</v>
      </c>
      <c r="B145" s="13" t="s">
        <v>349</v>
      </c>
    </row>
    <row r="146" ht="12.75" customHeight="1">
      <c r="A146" s="47" t="s">
        <v>350</v>
      </c>
      <c r="B146" s="13" t="s">
        <v>351</v>
      </c>
    </row>
    <row r="147" ht="15.75" customHeight="1">
      <c r="A147" s="47" t="s">
        <v>352</v>
      </c>
      <c r="B147" s="48" t="s">
        <v>353</v>
      </c>
    </row>
    <row r="148" ht="15.75" customHeight="1">
      <c r="A148" s="47" t="s">
        <v>354</v>
      </c>
      <c r="B148" s="48" t="s">
        <v>355</v>
      </c>
    </row>
    <row r="149" ht="15.75" customHeight="1">
      <c r="A149" s="47" t="s">
        <v>356</v>
      </c>
      <c r="B149" s="48" t="s">
        <v>357</v>
      </c>
    </row>
    <row r="150" ht="15.75" customHeight="1">
      <c r="A150" s="47" t="s">
        <v>358</v>
      </c>
      <c r="B150" s="13" t="s">
        <v>359</v>
      </c>
    </row>
    <row r="151" ht="12.75" customHeight="1">
      <c r="A151" s="47" t="s">
        <v>360</v>
      </c>
      <c r="B151" s="13" t="s">
        <v>361</v>
      </c>
    </row>
    <row r="152" ht="12.75" customHeight="1">
      <c r="A152" s="47" t="s">
        <v>362</v>
      </c>
      <c r="B152" s="13" t="s">
        <v>363</v>
      </c>
    </row>
    <row r="153" ht="12.75" customHeight="1">
      <c r="A153" s="47" t="s">
        <v>364</v>
      </c>
      <c r="B153" s="13" t="s">
        <v>365</v>
      </c>
    </row>
    <row r="154" ht="14.25" customHeight="1">
      <c r="A154" s="49" t="s">
        <v>249</v>
      </c>
      <c r="B154" s="13" t="s">
        <v>366</v>
      </c>
    </row>
    <row r="155" ht="15.75" customHeight="1">
      <c r="A155" s="49" t="s">
        <v>367</v>
      </c>
      <c r="B155" s="13" t="s">
        <v>368</v>
      </c>
    </row>
    <row r="156" ht="12.75" customHeight="1">
      <c r="A156" s="49" t="s">
        <v>369</v>
      </c>
      <c r="B156" s="13" t="s">
        <v>370</v>
      </c>
    </row>
    <row r="157" ht="15.75" customHeight="1">
      <c r="A157" s="47" t="s">
        <v>371</v>
      </c>
      <c r="B157" s="13" t="s">
        <v>372</v>
      </c>
    </row>
    <row r="158" ht="12.75" customHeight="1">
      <c r="A158" s="49" t="s">
        <v>373</v>
      </c>
      <c r="B158" s="13" t="s">
        <v>374</v>
      </c>
    </row>
    <row r="159" ht="12.75" customHeight="1">
      <c r="A159" s="47" t="s">
        <v>375</v>
      </c>
      <c r="B159" s="13" t="s">
        <v>376</v>
      </c>
    </row>
    <row r="160" ht="14.25" customHeight="1">
      <c r="A160" s="47" t="s">
        <v>377</v>
      </c>
      <c r="B160" s="13" t="s">
        <v>378</v>
      </c>
    </row>
    <row r="161" ht="15.75" customHeight="1">
      <c r="A161" s="47" t="s">
        <v>379</v>
      </c>
      <c r="B161" s="13" t="s">
        <v>380</v>
      </c>
    </row>
    <row r="162" ht="14.25" customHeight="1">
      <c r="A162" s="47" t="s">
        <v>381</v>
      </c>
      <c r="B162" s="13" t="s">
        <v>382</v>
      </c>
    </row>
    <row r="163" ht="15.75" customHeight="1">
      <c r="A163" s="47" t="s">
        <v>383</v>
      </c>
      <c r="B163" s="13" t="s">
        <v>384</v>
      </c>
    </row>
    <row r="164" ht="15.75" customHeight="1">
      <c r="A164" s="47" t="s">
        <v>385</v>
      </c>
      <c r="B164" s="13" t="s">
        <v>386</v>
      </c>
    </row>
    <row r="165" ht="15.75" customHeight="1">
      <c r="A165" s="47" t="s">
        <v>387</v>
      </c>
      <c r="B165" s="13" t="s">
        <v>388</v>
      </c>
    </row>
    <row r="166" ht="15.75" customHeight="1">
      <c r="A166" s="47" t="s">
        <v>389</v>
      </c>
      <c r="B166" s="13" t="s">
        <v>390</v>
      </c>
    </row>
    <row r="167" ht="12.75" customHeight="1">
      <c r="A167" s="49" t="s">
        <v>391</v>
      </c>
      <c r="B167" s="13" t="s">
        <v>392</v>
      </c>
    </row>
    <row r="168" ht="12.75" customHeight="1">
      <c r="A168" s="20"/>
      <c r="B168" s="20"/>
    </row>
    <row r="169" ht="12.75" customHeight="1">
      <c r="A169" s="20"/>
      <c r="B169" s="20"/>
    </row>
    <row r="170" ht="12.75" customHeight="1">
      <c r="A170" s="20"/>
      <c r="B170" s="20"/>
    </row>
    <row r="171" ht="12.75" customHeight="1">
      <c r="A171" s="20"/>
      <c r="B171" s="20"/>
    </row>
    <row r="172" ht="12.75" customHeight="1">
      <c r="A172" s="20"/>
      <c r="B172" s="20"/>
    </row>
    <row r="173" ht="12.75" customHeight="1">
      <c r="A173" s="20"/>
      <c r="B173" s="20"/>
    </row>
    <row r="174" ht="12.75" customHeight="1">
      <c r="A174" s="20"/>
      <c r="B174" s="20"/>
    </row>
    <row r="175" ht="12.75" customHeight="1">
      <c r="A175" s="20"/>
      <c r="B175" s="20"/>
    </row>
    <row r="176" ht="12.75" customHeight="1">
      <c r="A176" s="20"/>
      <c r="B176" s="20"/>
    </row>
    <row r="177" ht="12.75" customHeight="1">
      <c r="A177" s="20"/>
      <c r="B177" s="20"/>
    </row>
    <row r="178" ht="12.75" customHeight="1">
      <c r="A178" s="20"/>
      <c r="B178" s="20"/>
    </row>
    <row r="179" ht="12.75" customHeight="1">
      <c r="A179" s="20"/>
      <c r="B179" s="20"/>
    </row>
    <row r="180" ht="12.75" customHeight="1">
      <c r="A180" s="20"/>
      <c r="B180" s="20"/>
    </row>
    <row r="181" ht="12.75" customHeight="1">
      <c r="A181" s="20"/>
      <c r="B181" s="20"/>
    </row>
    <row r="182" ht="12.75" customHeight="1">
      <c r="A182" s="20"/>
      <c r="B182" s="20"/>
    </row>
    <row r="183" ht="12.75" customHeight="1">
      <c r="A183" s="20"/>
      <c r="B183" s="20"/>
    </row>
    <row r="184" ht="12.75" customHeight="1">
      <c r="A184" s="20"/>
      <c r="B184" s="20"/>
    </row>
    <row r="185" ht="12.75" customHeight="1">
      <c r="A185" s="20"/>
      <c r="B185" s="20"/>
    </row>
    <row r="186" ht="12.75" customHeight="1">
      <c r="A186" s="20"/>
      <c r="B186" s="20"/>
    </row>
    <row r="187" ht="12.75" customHeight="1">
      <c r="A187" s="20"/>
      <c r="B187" s="20"/>
    </row>
    <row r="188" ht="12.75" customHeight="1">
      <c r="A188" s="20"/>
      <c r="B188" s="20"/>
    </row>
    <row r="189" ht="12.75" customHeight="1">
      <c r="A189" s="20"/>
      <c r="B189" s="20"/>
    </row>
    <row r="190" ht="12.75" customHeight="1">
      <c r="A190" s="20"/>
      <c r="B190" s="20"/>
    </row>
    <row r="191" ht="12.75" customHeight="1">
      <c r="A191" s="20"/>
      <c r="B191" s="20"/>
    </row>
    <row r="192" ht="12.75" customHeight="1">
      <c r="A192" s="20"/>
      <c r="B192" s="20"/>
    </row>
    <row r="193" ht="12.75" customHeight="1">
      <c r="A193" s="20"/>
      <c r="B193" s="20"/>
    </row>
    <row r="194" ht="12.75" customHeight="1">
      <c r="A194" s="20"/>
      <c r="B194" s="20"/>
    </row>
    <row r="195" ht="12.75" customHeight="1">
      <c r="A195" s="20"/>
      <c r="B195" s="20"/>
    </row>
    <row r="196" ht="12.75" customHeight="1">
      <c r="A196" s="20"/>
      <c r="B196" s="20"/>
    </row>
    <row r="197" ht="12.75" customHeight="1">
      <c r="A197" s="20"/>
      <c r="B197" s="20"/>
    </row>
    <row r="198" ht="12.75" customHeight="1">
      <c r="A198" s="20"/>
      <c r="B198" s="20"/>
    </row>
    <row r="199" ht="12.75" customHeight="1">
      <c r="A199" s="20"/>
      <c r="B199" s="20"/>
    </row>
    <row r="200" ht="12.75" customHeight="1">
      <c r="A200" s="20"/>
      <c r="B200" s="20"/>
    </row>
    <row r="201" ht="12.75" customHeight="1">
      <c r="A201" s="20"/>
      <c r="B201" s="20"/>
    </row>
    <row r="202" ht="12.75" customHeight="1">
      <c r="A202" s="20"/>
      <c r="B202" s="20"/>
    </row>
    <row r="203" ht="12.75" customHeight="1">
      <c r="A203" s="20"/>
      <c r="B203" s="20"/>
    </row>
    <row r="204" ht="12.75" customHeight="1">
      <c r="A204" s="20"/>
      <c r="B204" s="20"/>
    </row>
    <row r="205" ht="12.75" customHeight="1">
      <c r="A205" s="20"/>
      <c r="B205" s="20"/>
    </row>
    <row r="206" ht="12.75" customHeight="1">
      <c r="A206" s="20"/>
      <c r="B206" s="20"/>
    </row>
    <row r="207" ht="12.75" customHeight="1">
      <c r="A207" s="20"/>
      <c r="B207" s="20"/>
    </row>
    <row r="208" ht="12.75" customHeight="1">
      <c r="A208" s="20"/>
      <c r="B208" s="20"/>
    </row>
    <row r="209" ht="12.75" customHeight="1">
      <c r="A209" s="20"/>
      <c r="B209" s="20"/>
    </row>
    <row r="210" ht="12.75" customHeight="1">
      <c r="A210" s="20"/>
      <c r="B210" s="20"/>
    </row>
    <row r="211" ht="12.75" customHeight="1">
      <c r="A211" s="20"/>
      <c r="B211" s="20"/>
    </row>
    <row r="212" ht="12.75" customHeight="1">
      <c r="A212" s="20"/>
      <c r="B212" s="20"/>
    </row>
    <row r="213" ht="12.75" customHeight="1">
      <c r="A213" s="20"/>
      <c r="B213" s="20"/>
    </row>
    <row r="214" ht="12.75" customHeight="1">
      <c r="A214" s="20"/>
      <c r="B214" s="20"/>
    </row>
    <row r="215" ht="12.75" customHeight="1">
      <c r="A215" s="20"/>
      <c r="B215" s="20"/>
    </row>
    <row r="216" ht="12.75" customHeight="1">
      <c r="A216" s="20"/>
      <c r="B216" s="20"/>
    </row>
    <row r="217" ht="12.75" customHeight="1">
      <c r="A217" s="20"/>
      <c r="B217" s="20"/>
    </row>
    <row r="218" ht="12.75" customHeight="1">
      <c r="A218" s="20"/>
      <c r="B218" s="20"/>
    </row>
    <row r="219" ht="12.75" customHeight="1">
      <c r="A219" s="20"/>
      <c r="B219" s="20"/>
    </row>
    <row r="220" ht="12.75" customHeight="1">
      <c r="A220" s="20"/>
      <c r="B220" s="20"/>
    </row>
    <row r="221" ht="12.75" customHeight="1">
      <c r="A221" s="20"/>
      <c r="B221" s="20"/>
    </row>
    <row r="222" ht="12.75" customHeight="1">
      <c r="A222" s="20"/>
      <c r="B222" s="20"/>
    </row>
    <row r="223" ht="12.75" customHeight="1">
      <c r="A223" s="20"/>
      <c r="B223" s="20"/>
    </row>
    <row r="224" ht="12.75" customHeight="1">
      <c r="A224" s="20"/>
      <c r="B224" s="20"/>
    </row>
    <row r="225" ht="12.75" customHeight="1">
      <c r="A225" s="20"/>
      <c r="B225" s="20"/>
    </row>
    <row r="226" ht="12.75" customHeight="1">
      <c r="A226" s="20"/>
      <c r="B226" s="20"/>
    </row>
    <row r="227" ht="12.75" customHeight="1">
      <c r="A227" s="20"/>
      <c r="B227" s="20"/>
    </row>
    <row r="228" ht="12.75" customHeight="1">
      <c r="A228" s="20"/>
      <c r="B228" s="20"/>
    </row>
    <row r="229" ht="12.75" customHeight="1">
      <c r="A229" s="20"/>
      <c r="B229" s="20"/>
    </row>
    <row r="230" ht="12.75" customHeight="1">
      <c r="A230" s="20"/>
      <c r="B230" s="20"/>
    </row>
    <row r="231" ht="12.75" customHeight="1">
      <c r="A231" s="20"/>
      <c r="B231" s="20"/>
    </row>
    <row r="232" ht="12.75" customHeight="1">
      <c r="A232" s="20"/>
      <c r="B232" s="20"/>
    </row>
    <row r="233" ht="12.75" customHeight="1">
      <c r="A233" s="20"/>
      <c r="B233" s="20"/>
    </row>
    <row r="234" ht="12.75" customHeight="1">
      <c r="A234" s="20"/>
      <c r="B234" s="20"/>
    </row>
    <row r="235" ht="12.75" customHeight="1">
      <c r="A235" s="20"/>
      <c r="B235" s="20"/>
    </row>
    <row r="236" ht="12.75" customHeight="1">
      <c r="A236" s="20"/>
      <c r="B236" s="20"/>
    </row>
    <row r="237" ht="12.75" customHeight="1">
      <c r="A237" s="20"/>
      <c r="B237" s="20"/>
    </row>
    <row r="238" ht="12.75" customHeight="1">
      <c r="A238" s="20"/>
      <c r="B238" s="20"/>
    </row>
    <row r="239" ht="12.75" customHeight="1">
      <c r="A239" s="20"/>
      <c r="B239" s="20"/>
    </row>
    <row r="240" ht="12.75" customHeight="1">
      <c r="A240" s="20"/>
      <c r="B240" s="20"/>
    </row>
    <row r="241" ht="12.75" customHeight="1">
      <c r="A241" s="20"/>
      <c r="B241" s="20"/>
    </row>
    <row r="242" ht="12.75" customHeight="1">
      <c r="A242" s="20"/>
      <c r="B242" s="20"/>
    </row>
    <row r="243" ht="12.75" customHeight="1">
      <c r="A243" s="20"/>
      <c r="B243" s="20"/>
    </row>
    <row r="244" ht="12.75" customHeight="1">
      <c r="A244" s="20"/>
      <c r="B244" s="20"/>
    </row>
    <row r="245" ht="12.75" customHeight="1">
      <c r="A245" s="20"/>
      <c r="B245" s="20"/>
    </row>
    <row r="246" ht="12.75" customHeight="1">
      <c r="A246" s="20"/>
      <c r="B246" s="20"/>
    </row>
    <row r="247" ht="12.75" customHeight="1">
      <c r="A247" s="20"/>
      <c r="B247" s="20"/>
    </row>
    <row r="248" ht="12.75" customHeight="1">
      <c r="A248" s="20"/>
      <c r="B248" s="20"/>
    </row>
    <row r="249" ht="12.75" customHeight="1">
      <c r="A249" s="20"/>
      <c r="B249" s="20"/>
    </row>
    <row r="250" ht="12.75" customHeight="1">
      <c r="A250" s="20"/>
      <c r="B250" s="20"/>
    </row>
    <row r="251" ht="12.75" customHeight="1">
      <c r="A251" s="20"/>
      <c r="B251" s="20"/>
    </row>
    <row r="252" ht="12.75" customHeight="1">
      <c r="A252" s="20"/>
      <c r="B252" s="20"/>
    </row>
    <row r="253" ht="12.75" customHeight="1">
      <c r="A253" s="20"/>
      <c r="B253" s="20"/>
    </row>
    <row r="254" ht="12.75" customHeight="1">
      <c r="A254" s="20"/>
      <c r="B254" s="20"/>
    </row>
    <row r="255" ht="12.75" customHeight="1">
      <c r="A255" s="20"/>
      <c r="B255" s="20"/>
    </row>
    <row r="256" ht="12.75" customHeight="1">
      <c r="A256" s="20"/>
      <c r="B256" s="20"/>
    </row>
    <row r="257" ht="12.75" customHeight="1">
      <c r="A257" s="20"/>
      <c r="B257" s="20"/>
    </row>
    <row r="258" ht="12.75" customHeight="1">
      <c r="A258" s="20"/>
      <c r="B258" s="20"/>
    </row>
    <row r="259" ht="12.75" customHeight="1">
      <c r="A259" s="20"/>
      <c r="B259" s="20"/>
    </row>
    <row r="260" ht="12.75" customHeight="1">
      <c r="A260" s="20"/>
      <c r="B260" s="20"/>
    </row>
    <row r="261" ht="12.75" customHeight="1">
      <c r="A261" s="20"/>
      <c r="B261" s="20"/>
    </row>
    <row r="262" ht="12.75" customHeight="1">
      <c r="A262" s="20"/>
      <c r="B262" s="20"/>
    </row>
    <row r="263" ht="12.75" customHeight="1">
      <c r="A263" s="20"/>
      <c r="B263" s="20"/>
    </row>
    <row r="264" ht="12.75" customHeight="1">
      <c r="A264" s="20"/>
      <c r="B264" s="20"/>
    </row>
    <row r="265" ht="12.75" customHeight="1">
      <c r="A265" s="20"/>
      <c r="B265" s="20"/>
    </row>
    <row r="266" ht="12.75" customHeight="1">
      <c r="A266" s="20"/>
      <c r="B266" s="20"/>
    </row>
    <row r="267" ht="12.75" customHeight="1">
      <c r="A267" s="20"/>
      <c r="B267" s="20"/>
    </row>
    <row r="268" ht="12.75" customHeight="1">
      <c r="A268" s="20"/>
      <c r="B268" s="20"/>
    </row>
    <row r="269" ht="12.75" customHeight="1">
      <c r="A269" s="20"/>
      <c r="B269" s="20"/>
    </row>
    <row r="270" ht="12.75" customHeight="1">
      <c r="A270" s="20"/>
      <c r="B270" s="20"/>
    </row>
    <row r="271" ht="12.75" customHeight="1">
      <c r="A271" s="20"/>
      <c r="B271" s="20"/>
    </row>
    <row r="272" ht="12.75" customHeight="1">
      <c r="A272" s="20"/>
      <c r="B272" s="20"/>
    </row>
    <row r="273" ht="12.75" customHeight="1">
      <c r="A273" s="20"/>
      <c r="B273" s="20"/>
    </row>
    <row r="274" ht="12.75" customHeight="1">
      <c r="A274" s="20"/>
      <c r="B274" s="20"/>
    </row>
    <row r="275" ht="12.75" customHeight="1">
      <c r="A275" s="20"/>
      <c r="B275" s="20"/>
    </row>
    <row r="276" ht="12.75" customHeight="1">
      <c r="A276" s="20"/>
      <c r="B276" s="20"/>
    </row>
    <row r="277" ht="12.75" customHeight="1">
      <c r="A277" s="20"/>
      <c r="B277" s="20"/>
    </row>
    <row r="278" ht="12.75" customHeight="1">
      <c r="A278" s="20"/>
      <c r="B278" s="20"/>
    </row>
    <row r="279" ht="12.75" customHeight="1">
      <c r="A279" s="20"/>
      <c r="B279" s="20"/>
    </row>
    <row r="280" ht="12.75" customHeight="1">
      <c r="A280" s="20"/>
      <c r="B280" s="20"/>
    </row>
    <row r="281" ht="12.75" customHeight="1">
      <c r="A281" s="20"/>
      <c r="B281" s="20"/>
    </row>
    <row r="282" ht="12.75" customHeight="1">
      <c r="A282" s="20"/>
      <c r="B282" s="20"/>
    </row>
    <row r="283" ht="12.75" customHeight="1">
      <c r="A283" s="20"/>
      <c r="B283" s="20"/>
    </row>
    <row r="284" ht="12.75" customHeight="1">
      <c r="A284" s="20"/>
      <c r="B284" s="20"/>
    </row>
    <row r="285" ht="12.75" customHeight="1">
      <c r="A285" s="20"/>
      <c r="B285" s="20"/>
    </row>
    <row r="286" ht="12.75" customHeight="1">
      <c r="A286" s="20"/>
      <c r="B286" s="20"/>
    </row>
    <row r="287" ht="12.75" customHeight="1">
      <c r="A287" s="20"/>
      <c r="B287" s="20"/>
    </row>
    <row r="288" ht="12.75" customHeight="1">
      <c r="A288" s="20"/>
      <c r="B288" s="20"/>
    </row>
    <row r="289" ht="12.75" customHeight="1">
      <c r="A289" s="20"/>
      <c r="B289" s="20"/>
    </row>
    <row r="290" ht="12.75" customHeight="1">
      <c r="A290" s="20"/>
      <c r="B290" s="20"/>
    </row>
    <row r="291" ht="12.75" customHeight="1">
      <c r="A291" s="20"/>
      <c r="B291" s="20"/>
    </row>
    <row r="292" ht="12.75" customHeight="1">
      <c r="A292" s="20"/>
      <c r="B292" s="20"/>
    </row>
    <row r="293" ht="12.75" customHeight="1">
      <c r="A293" s="20"/>
      <c r="B293" s="20"/>
    </row>
    <row r="294" ht="12.75" customHeight="1">
      <c r="A294" s="20"/>
      <c r="B294" s="20"/>
    </row>
    <row r="295" ht="12.75" customHeight="1">
      <c r="A295" s="20"/>
      <c r="B295" s="20"/>
    </row>
    <row r="296" ht="12.75" customHeight="1">
      <c r="A296" s="20"/>
      <c r="B296" s="20"/>
    </row>
    <row r="297" ht="12.75" customHeight="1">
      <c r="A297" s="20"/>
      <c r="B297" s="20"/>
    </row>
    <row r="298" ht="12.75" customHeight="1">
      <c r="A298" s="20"/>
      <c r="B298" s="20"/>
    </row>
    <row r="299" ht="12.75" customHeight="1">
      <c r="A299" s="20"/>
      <c r="B299" s="20"/>
    </row>
    <row r="300" ht="12.75" customHeight="1">
      <c r="A300" s="20"/>
      <c r="B300" s="20"/>
    </row>
    <row r="301" ht="12.75" customHeight="1">
      <c r="A301" s="20"/>
      <c r="B301" s="20"/>
    </row>
    <row r="302" ht="12.75" customHeight="1">
      <c r="A302" s="20"/>
      <c r="B302" s="20"/>
    </row>
    <row r="303" ht="12.75" customHeight="1">
      <c r="A303" s="20"/>
      <c r="B303" s="20"/>
    </row>
    <row r="304" ht="12.75" customHeight="1">
      <c r="A304" s="20"/>
      <c r="B304" s="20"/>
    </row>
    <row r="305" ht="12.75" customHeight="1">
      <c r="A305" s="20"/>
      <c r="B305" s="20"/>
    </row>
    <row r="306" ht="12.75" customHeight="1">
      <c r="A306" s="20"/>
      <c r="B306" s="20"/>
    </row>
    <row r="307" ht="12.75" customHeight="1">
      <c r="A307" s="20"/>
      <c r="B307" s="20"/>
    </row>
    <row r="308" ht="12.75" customHeight="1">
      <c r="A308" s="20"/>
      <c r="B308" s="20"/>
    </row>
    <row r="309" ht="12.75" customHeight="1">
      <c r="A309" s="20"/>
      <c r="B309" s="20"/>
    </row>
    <row r="310" ht="12.75" customHeight="1">
      <c r="A310" s="20"/>
      <c r="B310" s="20"/>
    </row>
    <row r="311" ht="12.75" customHeight="1">
      <c r="A311" s="20"/>
      <c r="B311" s="20"/>
    </row>
    <row r="312" ht="12.75" customHeight="1">
      <c r="A312" s="20"/>
      <c r="B312" s="20"/>
    </row>
    <row r="313" ht="12.75" customHeight="1">
      <c r="A313" s="20"/>
      <c r="B313" s="20"/>
    </row>
    <row r="314" ht="12.75" customHeight="1">
      <c r="A314" s="20"/>
      <c r="B314" s="20"/>
    </row>
    <row r="315" ht="12.75" customHeight="1">
      <c r="A315" s="20"/>
      <c r="B315" s="20"/>
    </row>
    <row r="316" ht="12.75" customHeight="1">
      <c r="A316" s="20"/>
      <c r="B316" s="20"/>
    </row>
    <row r="317" ht="12.75" customHeight="1">
      <c r="A317" s="20"/>
      <c r="B317" s="20"/>
    </row>
    <row r="318" ht="12.75" customHeight="1">
      <c r="A318" s="20"/>
      <c r="B318" s="20"/>
    </row>
    <row r="319" ht="12.75" customHeight="1">
      <c r="A319" s="20"/>
      <c r="B319" s="20"/>
    </row>
    <row r="320" ht="12.75" customHeight="1">
      <c r="A320" s="20"/>
      <c r="B320" s="20"/>
    </row>
    <row r="321" ht="12.75" customHeight="1">
      <c r="A321" s="20"/>
      <c r="B321" s="20"/>
    </row>
    <row r="322" ht="12.75" customHeight="1">
      <c r="A322" s="20"/>
      <c r="B322" s="20"/>
    </row>
    <row r="323" ht="12.75" customHeight="1">
      <c r="A323" s="20"/>
      <c r="B323" s="20"/>
    </row>
    <row r="324" ht="12.75" customHeight="1">
      <c r="A324" s="20"/>
      <c r="B324" s="20"/>
    </row>
    <row r="325" ht="12.75" customHeight="1">
      <c r="A325" s="20"/>
      <c r="B325" s="20"/>
    </row>
    <row r="326" ht="12.75" customHeight="1">
      <c r="A326" s="20"/>
      <c r="B326" s="20"/>
    </row>
    <row r="327" ht="12.75" customHeight="1">
      <c r="A327" s="20"/>
      <c r="B327" s="20"/>
    </row>
    <row r="328" ht="12.75" customHeight="1">
      <c r="A328" s="20"/>
      <c r="B328" s="20"/>
    </row>
    <row r="329" ht="12.75" customHeight="1">
      <c r="A329" s="20"/>
      <c r="B329" s="20"/>
    </row>
    <row r="330" ht="12.75" customHeight="1">
      <c r="A330" s="20"/>
      <c r="B330" s="20"/>
    </row>
    <row r="331" ht="12.75" customHeight="1">
      <c r="A331" s="20"/>
      <c r="B331" s="20"/>
    </row>
    <row r="332" ht="12.75" customHeight="1">
      <c r="A332" s="20"/>
      <c r="B332" s="20"/>
    </row>
    <row r="333" ht="12.75" customHeight="1">
      <c r="A333" s="20"/>
      <c r="B333" s="20"/>
    </row>
    <row r="334" ht="12.75" customHeight="1">
      <c r="A334" s="20"/>
      <c r="B334" s="20"/>
    </row>
    <row r="335" ht="12.75" customHeight="1">
      <c r="A335" s="20"/>
      <c r="B335" s="20"/>
    </row>
    <row r="336" ht="12.75" customHeight="1">
      <c r="A336" s="20"/>
      <c r="B336" s="20"/>
    </row>
    <row r="337" ht="12.75" customHeight="1">
      <c r="A337" s="20"/>
      <c r="B337" s="20"/>
    </row>
    <row r="338" ht="12.75" customHeight="1">
      <c r="A338" s="20"/>
      <c r="B338" s="20"/>
    </row>
    <row r="339" ht="12.75" customHeight="1">
      <c r="A339" s="20"/>
      <c r="B339" s="20"/>
    </row>
    <row r="340" ht="12.75" customHeight="1">
      <c r="A340" s="20"/>
      <c r="B340" s="20"/>
    </row>
    <row r="341" ht="12.75" customHeight="1">
      <c r="A341" s="20"/>
      <c r="B341" s="20"/>
    </row>
    <row r="342" ht="12.75" customHeight="1">
      <c r="A342" s="20"/>
      <c r="B342" s="20"/>
    </row>
    <row r="343" ht="12.75" customHeight="1">
      <c r="A343" s="20"/>
      <c r="B343" s="20"/>
    </row>
    <row r="344" ht="12.75" customHeight="1">
      <c r="A344" s="20"/>
      <c r="B344" s="20"/>
    </row>
    <row r="345" ht="12.75" customHeight="1">
      <c r="A345" s="20"/>
      <c r="B345" s="20"/>
    </row>
    <row r="346" ht="12.75" customHeight="1">
      <c r="A346" s="20"/>
      <c r="B346" s="20"/>
    </row>
    <row r="347" ht="12.75" customHeight="1">
      <c r="A347" s="20"/>
      <c r="B347" s="20"/>
    </row>
    <row r="348" ht="12.75" customHeight="1">
      <c r="A348" s="20"/>
      <c r="B348" s="20"/>
    </row>
    <row r="349" ht="12.75" customHeight="1">
      <c r="A349" s="20"/>
      <c r="B349" s="20"/>
    </row>
    <row r="350" ht="12.75" customHeight="1">
      <c r="A350" s="20"/>
      <c r="B350" s="20"/>
    </row>
    <row r="351" ht="12.75" customHeight="1">
      <c r="A351" s="20"/>
      <c r="B351" s="20"/>
    </row>
    <row r="352" ht="12.75" customHeight="1">
      <c r="A352" s="20"/>
      <c r="B352" s="20"/>
    </row>
    <row r="353" ht="12.75" customHeight="1">
      <c r="A353" s="20"/>
      <c r="B353" s="20"/>
    </row>
    <row r="354" ht="12.75" customHeight="1">
      <c r="A354" s="20"/>
      <c r="B354" s="20"/>
    </row>
    <row r="355" ht="12.75" customHeight="1">
      <c r="A355" s="20"/>
      <c r="B355" s="20"/>
    </row>
    <row r="356" ht="12.75" customHeight="1">
      <c r="A356" s="20"/>
      <c r="B356" s="20"/>
    </row>
    <row r="357" ht="12.75" customHeight="1">
      <c r="A357" s="20"/>
      <c r="B357" s="20"/>
    </row>
    <row r="358" ht="12.75" customHeight="1">
      <c r="A358" s="20"/>
      <c r="B358" s="20"/>
    </row>
    <row r="359" ht="12.75" customHeight="1">
      <c r="A359" s="20"/>
      <c r="B359" s="20"/>
    </row>
    <row r="360" ht="12.75" customHeight="1">
      <c r="A360" s="20"/>
      <c r="B360" s="20"/>
    </row>
    <row r="361" ht="12.75" customHeight="1">
      <c r="A361" s="20"/>
      <c r="B361" s="20"/>
    </row>
    <row r="362" ht="12.75" customHeight="1">
      <c r="A362" s="20"/>
      <c r="B362" s="20"/>
    </row>
    <row r="363" ht="12.75" customHeight="1">
      <c r="A363" s="20"/>
      <c r="B363" s="20"/>
    </row>
    <row r="364" ht="12.75" customHeight="1">
      <c r="A364" s="20"/>
      <c r="B364" s="20"/>
    </row>
    <row r="365" ht="12.75" customHeight="1">
      <c r="A365" s="20"/>
      <c r="B365" s="20"/>
    </row>
    <row r="366" ht="12.75" customHeight="1">
      <c r="A366" s="20"/>
      <c r="B366" s="20"/>
    </row>
    <row r="367" ht="12.75" customHeight="1">
      <c r="A367" s="20"/>
      <c r="B367" s="20"/>
    </row>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2:B2"/>
    <mergeCell ref="A19:B19"/>
    <mergeCell ref="A26:B26"/>
    <mergeCell ref="A41:B41"/>
    <mergeCell ref="A60:B60"/>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57"/>
    <col customWidth="1" min="2" max="2" width="73.71"/>
    <col customWidth="1" min="3" max="3" width="44.0"/>
    <col customWidth="1" min="4" max="4" width="15.29"/>
    <col customWidth="1" min="5" max="5" width="10.57"/>
    <col customWidth="1" min="6" max="6" width="38.86"/>
    <col customWidth="1" min="7" max="7" width="8.0"/>
    <col customWidth="1" min="8" max="8" width="21.14"/>
    <col customWidth="1" min="9" max="9" width="12.29"/>
    <col customWidth="1" min="10" max="10" width="118.86"/>
    <col customWidth="1" min="11" max="11" width="15.43"/>
    <col customWidth="1" min="12" max="12" width="8.14"/>
    <col customWidth="1" min="13" max="13" width="13.14"/>
    <col customWidth="1" min="14" max="14" width="18.86"/>
    <col customWidth="1" min="15" max="15" width="5.86"/>
    <col customWidth="1" min="16" max="16" width="13.43"/>
    <col customWidth="1" min="17" max="26" width="8.0"/>
  </cols>
  <sheetData>
    <row r="1" ht="12.75" customHeight="1">
      <c r="A1" s="50"/>
      <c r="B1" s="21"/>
      <c r="C1" s="21"/>
      <c r="D1" s="37"/>
      <c r="E1" s="37"/>
      <c r="P1" s="50"/>
    </row>
    <row r="2" ht="18.0" customHeight="1">
      <c r="A2" s="46" t="s">
        <v>393</v>
      </c>
      <c r="B2" s="8"/>
      <c r="C2" s="8"/>
      <c r="D2" s="8"/>
      <c r="E2" s="8"/>
      <c r="F2" s="9"/>
      <c r="H2" s="51" t="s">
        <v>394</v>
      </c>
      <c r="I2" s="8"/>
      <c r="J2" s="8"/>
      <c r="K2" s="8"/>
      <c r="L2" s="8"/>
      <c r="M2" s="8"/>
      <c r="N2" s="8"/>
      <c r="O2" s="8"/>
      <c r="P2" s="9"/>
    </row>
    <row r="3" ht="18.0" customHeight="1">
      <c r="A3" s="52" t="s">
        <v>395</v>
      </c>
      <c r="B3" s="53"/>
      <c r="C3" s="53"/>
      <c r="D3" s="53"/>
      <c r="E3" s="53"/>
      <c r="F3" s="53"/>
      <c r="H3" s="54"/>
      <c r="I3" s="54"/>
      <c r="J3" s="55"/>
      <c r="K3" s="56" t="s">
        <v>396</v>
      </c>
      <c r="L3" s="2"/>
      <c r="M3" s="57"/>
      <c r="N3" s="58">
        <v>30.0</v>
      </c>
      <c r="O3" s="59"/>
      <c r="P3" s="60"/>
    </row>
    <row r="4" ht="33.0" customHeight="1">
      <c r="A4" s="11" t="s">
        <v>397</v>
      </c>
      <c r="B4" s="11" t="s">
        <v>398</v>
      </c>
      <c r="C4" s="11" t="s">
        <v>399</v>
      </c>
      <c r="D4" s="11" t="s">
        <v>9</v>
      </c>
      <c r="E4" s="11" t="s">
        <v>400</v>
      </c>
      <c r="F4" s="11" t="s">
        <v>401</v>
      </c>
      <c r="H4" s="61" t="s">
        <v>402</v>
      </c>
      <c r="I4" s="62" t="s">
        <v>403</v>
      </c>
      <c r="J4" s="62" t="s">
        <v>404</v>
      </c>
      <c r="K4" s="63" t="s">
        <v>405</v>
      </c>
      <c r="L4" s="2"/>
      <c r="M4" s="3"/>
      <c r="N4" s="63" t="s">
        <v>406</v>
      </c>
      <c r="O4" s="2"/>
      <c r="P4" s="3"/>
    </row>
    <row r="5" ht="15.75" customHeight="1">
      <c r="A5" s="64" t="s">
        <v>192</v>
      </c>
      <c r="B5" s="65" t="s">
        <v>407</v>
      </c>
      <c r="C5" s="15"/>
      <c r="D5" s="66" t="s">
        <v>408</v>
      </c>
      <c r="E5" s="67">
        <v>24.0</v>
      </c>
      <c r="F5" s="15"/>
      <c r="H5" s="68"/>
      <c r="I5" s="68"/>
      <c r="J5" s="68"/>
      <c r="K5" s="63" t="s">
        <v>409</v>
      </c>
      <c r="L5" s="3"/>
      <c r="M5" s="69" t="s">
        <v>410</v>
      </c>
      <c r="N5" s="63" t="s">
        <v>409</v>
      </c>
      <c r="O5" s="3"/>
      <c r="P5" s="69" t="s">
        <v>411</v>
      </c>
    </row>
    <row r="6" ht="15.75" customHeight="1">
      <c r="A6" s="70" t="s">
        <v>412</v>
      </c>
      <c r="B6" s="13" t="s">
        <v>413</v>
      </c>
      <c r="C6" s="15"/>
      <c r="D6" s="66" t="s">
        <v>408</v>
      </c>
      <c r="E6" s="67">
        <v>60.0</v>
      </c>
      <c r="F6" s="15"/>
      <c r="H6" s="71" t="s">
        <v>414</v>
      </c>
      <c r="I6" s="71" t="s">
        <v>415</v>
      </c>
      <c r="J6" s="72" t="s">
        <v>416</v>
      </c>
      <c r="K6" s="73" t="s">
        <v>417</v>
      </c>
      <c r="L6" s="74">
        <f>IF((0.8-0.01*N$3)&gt;0.93,0.93,(0.8-0.01*N$3))</f>
        <v>0.5</v>
      </c>
      <c r="M6" s="75">
        <f t="shared" ref="M6:M10" si="2">IF((L6*1.25)&gt;0.93,0.93,(L6*1.25))</f>
        <v>0.625</v>
      </c>
      <c r="N6" s="76" t="s">
        <v>418</v>
      </c>
      <c r="O6" s="77">
        <f t="shared" ref="O6:P6" si="1">1.4/L6</f>
        <v>2.8</v>
      </c>
      <c r="P6" s="78">
        <f t="shared" si="1"/>
        <v>2.24</v>
      </c>
    </row>
    <row r="7" ht="15.75" customHeight="1">
      <c r="A7" s="70" t="s">
        <v>419</v>
      </c>
      <c r="B7" s="13" t="s">
        <v>420</v>
      </c>
      <c r="C7" s="15"/>
      <c r="D7" s="66" t="s">
        <v>421</v>
      </c>
      <c r="E7" s="67">
        <v>23040.0</v>
      </c>
      <c r="F7" s="15" t="s">
        <v>422</v>
      </c>
      <c r="H7" s="79"/>
      <c r="I7" s="79"/>
      <c r="J7" s="80" t="s">
        <v>423</v>
      </c>
      <c r="K7" s="81" t="s">
        <v>424</v>
      </c>
      <c r="L7" s="82">
        <f>IF((0.62-0.01*N$3)&gt;0.93,0.93,(0.62-0.01*N$3))</f>
        <v>0.32</v>
      </c>
      <c r="M7" s="75">
        <f t="shared" si="2"/>
        <v>0.4</v>
      </c>
      <c r="N7" s="81" t="s">
        <v>425</v>
      </c>
      <c r="O7" s="77">
        <f t="shared" ref="O7:P7" si="3">1.4/L7</f>
        <v>4.375</v>
      </c>
      <c r="P7" s="78">
        <f t="shared" si="3"/>
        <v>3.5</v>
      </c>
    </row>
    <row r="8" ht="15.75" customHeight="1">
      <c r="A8" s="70" t="s">
        <v>426</v>
      </c>
      <c r="B8" s="13" t="s">
        <v>427</v>
      </c>
      <c r="C8" s="15"/>
      <c r="D8" s="66" t="s">
        <v>421</v>
      </c>
      <c r="E8" s="67">
        <v>0.0</v>
      </c>
      <c r="F8" s="15" t="s">
        <v>428</v>
      </c>
      <c r="H8" s="79"/>
      <c r="I8" s="79"/>
      <c r="J8" s="80" t="s">
        <v>429</v>
      </c>
      <c r="K8" s="81" t="s">
        <v>430</v>
      </c>
      <c r="L8" s="82">
        <f>IF((0.71-0.01*N$3)&gt;0.93,0.93,(0.71-0.01*N$3))</f>
        <v>0.41</v>
      </c>
      <c r="M8" s="75">
        <f t="shared" si="2"/>
        <v>0.5125</v>
      </c>
      <c r="N8" s="81" t="s">
        <v>431</v>
      </c>
      <c r="O8" s="77">
        <f t="shared" ref="O8:P8" si="4">1.4/L8</f>
        <v>3.414634146</v>
      </c>
      <c r="P8" s="78">
        <f t="shared" si="4"/>
        <v>2.731707317</v>
      </c>
    </row>
    <row r="9" ht="15.75" customHeight="1">
      <c r="A9" s="83"/>
      <c r="B9" s="15" t="s">
        <v>432</v>
      </c>
      <c r="C9" s="15"/>
      <c r="D9" s="66" t="s">
        <v>433</v>
      </c>
      <c r="E9" s="67">
        <v>0.0</v>
      </c>
      <c r="F9" s="15" t="s">
        <v>434</v>
      </c>
      <c r="H9" s="79"/>
      <c r="I9" s="79"/>
      <c r="J9" s="80" t="s">
        <v>435</v>
      </c>
      <c r="K9" s="81" t="s">
        <v>436</v>
      </c>
      <c r="L9" s="82">
        <f>IF((0.58-0.01*N$3)&gt;0.93,0.93,(0.58-0.01*N$3))</f>
        <v>0.28</v>
      </c>
      <c r="M9" s="75">
        <f t="shared" si="2"/>
        <v>0.35</v>
      </c>
      <c r="N9" s="81" t="s">
        <v>437</v>
      </c>
      <c r="O9" s="77">
        <f t="shared" ref="O9:P9" si="5">1.4/L9</f>
        <v>5</v>
      </c>
      <c r="P9" s="78">
        <f t="shared" si="5"/>
        <v>4</v>
      </c>
    </row>
    <row r="10" ht="15.75" customHeight="1">
      <c r="A10" s="84" t="s">
        <v>438</v>
      </c>
      <c r="B10" s="15" t="s">
        <v>439</v>
      </c>
      <c r="C10" s="15" t="s">
        <v>440</v>
      </c>
      <c r="D10" s="66" t="s">
        <v>441</v>
      </c>
      <c r="E10" s="67">
        <v>156.0</v>
      </c>
      <c r="F10" s="15" t="s">
        <v>442</v>
      </c>
      <c r="H10" s="79"/>
      <c r="I10" s="68"/>
      <c r="J10" s="80" t="s">
        <v>443</v>
      </c>
      <c r="K10" s="81" t="s">
        <v>444</v>
      </c>
      <c r="L10" s="82">
        <f>IF((0.77-0.01*N$3)&gt;0.93,0.93,(0.77-0.01*N$3))</f>
        <v>0.47</v>
      </c>
      <c r="M10" s="75">
        <f t="shared" si="2"/>
        <v>0.5875</v>
      </c>
      <c r="N10" s="81" t="s">
        <v>445</v>
      </c>
      <c r="O10" s="77">
        <f t="shared" ref="O10:P10" si="6">1.4/L10</f>
        <v>2.978723404</v>
      </c>
      <c r="P10" s="78">
        <f t="shared" si="6"/>
        <v>2.382978723</v>
      </c>
    </row>
    <row r="11" ht="15.75" customHeight="1">
      <c r="A11" s="70" t="s">
        <v>446</v>
      </c>
      <c r="B11" s="13" t="s">
        <v>447</v>
      </c>
      <c r="C11" s="85"/>
      <c r="D11" s="66" t="s">
        <v>448</v>
      </c>
      <c r="E11" s="67">
        <v>0.35</v>
      </c>
      <c r="F11" s="15" t="s">
        <v>449</v>
      </c>
      <c r="H11" s="79"/>
      <c r="I11" s="86" t="s">
        <v>450</v>
      </c>
      <c r="J11" s="80" t="s">
        <v>451</v>
      </c>
      <c r="K11" s="87">
        <v>0.41</v>
      </c>
      <c r="L11" s="3"/>
      <c r="M11" s="88">
        <f t="shared" ref="M11:M21" si="7">+K11*1.25</f>
        <v>0.5125</v>
      </c>
      <c r="N11" s="87">
        <v>3.4</v>
      </c>
      <c r="O11" s="3"/>
      <c r="P11" s="89">
        <f t="shared" ref="P11:P21" si="8">+N11*0.8</f>
        <v>2.72</v>
      </c>
    </row>
    <row r="12" ht="15.75" customHeight="1">
      <c r="A12" s="70" t="s">
        <v>452</v>
      </c>
      <c r="B12" s="13" t="s">
        <v>453</v>
      </c>
      <c r="C12" s="15"/>
      <c r="D12" s="66" t="s">
        <v>448</v>
      </c>
      <c r="E12" s="67">
        <v>4.0</v>
      </c>
      <c r="F12" s="15" t="s">
        <v>449</v>
      </c>
      <c r="H12" s="79"/>
      <c r="I12" s="86" t="s">
        <v>454</v>
      </c>
      <c r="J12" s="80" t="s">
        <v>455</v>
      </c>
      <c r="K12" s="87">
        <v>0.5</v>
      </c>
      <c r="L12" s="3"/>
      <c r="M12" s="88">
        <f t="shared" si="7"/>
        <v>0.625</v>
      </c>
      <c r="N12" s="87">
        <v>2.8</v>
      </c>
      <c r="O12" s="3"/>
      <c r="P12" s="89">
        <f t="shared" si="8"/>
        <v>2.24</v>
      </c>
    </row>
    <row r="13" ht="15.75" customHeight="1">
      <c r="A13" s="70" t="s">
        <v>456</v>
      </c>
      <c r="B13" s="13" t="s">
        <v>457</v>
      </c>
      <c r="C13" s="15" t="s">
        <v>458</v>
      </c>
      <c r="D13" s="66" t="s">
        <v>459</v>
      </c>
      <c r="E13" s="90">
        <f>'Sheet 1'!E35</f>
        <v>400</v>
      </c>
      <c r="F13" s="15"/>
      <c r="H13" s="68"/>
      <c r="I13" s="86" t="s">
        <v>460</v>
      </c>
      <c r="J13" s="80" t="s">
        <v>461</v>
      </c>
      <c r="K13" s="87">
        <v>0.5</v>
      </c>
      <c r="L13" s="3"/>
      <c r="M13" s="88">
        <f t="shared" si="7"/>
        <v>0.625</v>
      </c>
      <c r="N13" s="87">
        <v>2.8</v>
      </c>
      <c r="O13" s="3"/>
      <c r="P13" s="89">
        <f t="shared" si="8"/>
        <v>2.24</v>
      </c>
    </row>
    <row r="14" ht="15.75" customHeight="1">
      <c r="A14" s="70" t="s">
        <v>462</v>
      </c>
      <c r="B14" s="13" t="s">
        <v>463</v>
      </c>
      <c r="C14" s="15" t="s">
        <v>458</v>
      </c>
      <c r="D14" s="66" t="s">
        <v>464</v>
      </c>
      <c r="E14" s="91">
        <f t="array" ref="E14">(INDEX('Sheet 1'!A47:'Sheet 1'!F154,'Bearing Strength Assessment'!E6,5)+INDEX('Sheet 1'!A47:'Sheet 1'!F154,('Bearing Strength Assessment'!E6+1),5))/2</f>
        <v>4.0625</v>
      </c>
      <c r="F14" s="15"/>
      <c r="H14" s="92" t="s">
        <v>465</v>
      </c>
      <c r="I14" s="92" t="s">
        <v>415</v>
      </c>
      <c r="J14" s="80" t="s">
        <v>466</v>
      </c>
      <c r="K14" s="87">
        <v>0.6</v>
      </c>
      <c r="L14" s="3"/>
      <c r="M14" s="88">
        <f t="shared" si="7"/>
        <v>0.75</v>
      </c>
      <c r="N14" s="87">
        <v>2.3</v>
      </c>
      <c r="O14" s="3"/>
      <c r="P14" s="89">
        <f t="shared" si="8"/>
        <v>1.84</v>
      </c>
    </row>
    <row r="15" ht="15.75" customHeight="1">
      <c r="A15" s="93" t="s">
        <v>249</v>
      </c>
      <c r="B15" s="13" t="s">
        <v>467</v>
      </c>
      <c r="C15" s="94" t="s">
        <v>468</v>
      </c>
      <c r="D15" s="66" t="s">
        <v>469</v>
      </c>
      <c r="E15" s="95">
        <f>+E14*144*12/E6</f>
        <v>117</v>
      </c>
      <c r="F15" s="15"/>
      <c r="H15" s="79"/>
      <c r="I15" s="79"/>
      <c r="J15" s="80" t="s">
        <v>470</v>
      </c>
      <c r="K15" s="87">
        <v>0.6</v>
      </c>
      <c r="L15" s="3"/>
      <c r="M15" s="88">
        <f t="shared" si="7"/>
        <v>0.75</v>
      </c>
      <c r="N15" s="87">
        <v>2.3</v>
      </c>
      <c r="O15" s="3"/>
      <c r="P15" s="89">
        <f t="shared" si="8"/>
        <v>1.84</v>
      </c>
    </row>
    <row r="16" ht="15.75" customHeight="1">
      <c r="A16" s="96" t="s">
        <v>471</v>
      </c>
      <c r="B16" s="97" t="s">
        <v>472</v>
      </c>
      <c r="C16" s="97" t="s">
        <v>473</v>
      </c>
      <c r="D16" s="98" t="s">
        <v>448</v>
      </c>
      <c r="E16" s="99">
        <f>IF(E13&gt;(1.5*E5+E6),1,IF(E13&lt;E6,0.5,(0.5+(E13-E6)/(3*E5))))</f>
        <v>1</v>
      </c>
      <c r="F16" s="100" t="s">
        <v>474</v>
      </c>
      <c r="H16" s="79"/>
      <c r="I16" s="79"/>
      <c r="J16" s="80" t="s">
        <v>475</v>
      </c>
      <c r="K16" s="87">
        <v>0.6</v>
      </c>
      <c r="L16" s="3"/>
      <c r="M16" s="88">
        <f t="shared" si="7"/>
        <v>0.75</v>
      </c>
      <c r="N16" s="87">
        <v>2.3</v>
      </c>
      <c r="O16" s="3"/>
      <c r="P16" s="89">
        <f t="shared" si="8"/>
        <v>1.84</v>
      </c>
    </row>
    <row r="17" ht="15.75" customHeight="1">
      <c r="A17" s="68"/>
      <c r="B17" s="68"/>
      <c r="C17" s="68"/>
      <c r="D17" s="68"/>
      <c r="E17" s="68"/>
      <c r="F17" s="79"/>
      <c r="H17" s="79"/>
      <c r="I17" s="79"/>
      <c r="J17" s="80" t="s">
        <v>476</v>
      </c>
      <c r="K17" s="87">
        <v>0.6</v>
      </c>
      <c r="L17" s="3"/>
      <c r="M17" s="88">
        <f t="shared" si="7"/>
        <v>0.75</v>
      </c>
      <c r="N17" s="87">
        <v>2.3</v>
      </c>
      <c r="O17" s="3"/>
      <c r="P17" s="89">
        <f t="shared" si="8"/>
        <v>1.84</v>
      </c>
    </row>
    <row r="18" ht="15.75" customHeight="1">
      <c r="A18" s="96" t="s">
        <v>477</v>
      </c>
      <c r="B18" s="97" t="s">
        <v>472</v>
      </c>
      <c r="C18" s="100" t="s">
        <v>478</v>
      </c>
      <c r="D18" s="98" t="s">
        <v>448</v>
      </c>
      <c r="E18" s="99">
        <f>IF(E13&lt;E6,(0.5+0.5*E13/E6),1)</f>
        <v>1</v>
      </c>
      <c r="F18" s="79"/>
      <c r="H18" s="79"/>
      <c r="I18" s="79"/>
      <c r="J18" s="80" t="s">
        <v>435</v>
      </c>
      <c r="K18" s="87">
        <v>0.47</v>
      </c>
      <c r="L18" s="3"/>
      <c r="M18" s="88">
        <f t="shared" si="7"/>
        <v>0.5875</v>
      </c>
      <c r="N18" s="87">
        <v>3.0</v>
      </c>
      <c r="O18" s="3"/>
      <c r="P18" s="89">
        <f t="shared" si="8"/>
        <v>2.4</v>
      </c>
    </row>
    <row r="19" ht="15.75" customHeight="1">
      <c r="A19" s="68"/>
      <c r="B19" s="68"/>
      <c r="C19" s="68"/>
      <c r="D19" s="68"/>
      <c r="E19" s="68"/>
      <c r="F19" s="68"/>
      <c r="H19" s="79"/>
      <c r="I19" s="68"/>
      <c r="J19" s="80" t="s">
        <v>443</v>
      </c>
      <c r="K19" s="87">
        <v>0.6</v>
      </c>
      <c r="L19" s="3"/>
      <c r="M19" s="88">
        <f t="shared" si="7"/>
        <v>0.75</v>
      </c>
      <c r="N19" s="87">
        <v>2.3</v>
      </c>
      <c r="O19" s="3"/>
      <c r="P19" s="89">
        <f t="shared" si="8"/>
        <v>1.84</v>
      </c>
    </row>
    <row r="20" ht="15.75" customHeight="1">
      <c r="A20" s="70" t="s">
        <v>182</v>
      </c>
      <c r="B20" s="13" t="s">
        <v>479</v>
      </c>
      <c r="C20" s="94" t="s">
        <v>480</v>
      </c>
      <c r="D20" s="66" t="s">
        <v>481</v>
      </c>
      <c r="E20" s="101">
        <f>IF(E9&gt;0.1,(E5*E5),(3.1416*E5^2/4))</f>
        <v>452.3904</v>
      </c>
      <c r="F20" s="15"/>
      <c r="H20" s="79"/>
      <c r="I20" s="86" t="s">
        <v>454</v>
      </c>
      <c r="J20" s="80" t="s">
        <v>455</v>
      </c>
      <c r="K20" s="87">
        <v>0.6</v>
      </c>
      <c r="L20" s="3"/>
      <c r="M20" s="88">
        <f t="shared" si="7"/>
        <v>0.75</v>
      </c>
      <c r="N20" s="87">
        <v>2.3</v>
      </c>
      <c r="O20" s="3"/>
      <c r="P20" s="89">
        <f t="shared" si="8"/>
        <v>1.84</v>
      </c>
    </row>
    <row r="21" ht="15.75" customHeight="1">
      <c r="A21" s="70" t="s">
        <v>482</v>
      </c>
      <c r="B21" s="15" t="s">
        <v>483</v>
      </c>
      <c r="C21" s="15" t="s">
        <v>484</v>
      </c>
      <c r="D21" s="66" t="s">
        <v>421</v>
      </c>
      <c r="E21" s="90">
        <f>+(E10-E14)*E20*E11</f>
        <v>24057.27324</v>
      </c>
      <c r="F21" s="15" t="s">
        <v>485</v>
      </c>
      <c r="H21" s="68"/>
      <c r="I21" s="86" t="s">
        <v>460</v>
      </c>
      <c r="J21" s="80" t="s">
        <v>461</v>
      </c>
      <c r="K21" s="87">
        <v>0.6</v>
      </c>
      <c r="L21" s="3"/>
      <c r="M21" s="88">
        <f t="shared" si="7"/>
        <v>0.75</v>
      </c>
      <c r="N21" s="87">
        <v>2.3</v>
      </c>
      <c r="O21" s="3"/>
      <c r="P21" s="89">
        <f t="shared" si="8"/>
        <v>1.84</v>
      </c>
    </row>
    <row r="22" ht="15.75" customHeight="1">
      <c r="A22" s="70" t="s">
        <v>486</v>
      </c>
      <c r="B22" s="15" t="s">
        <v>487</v>
      </c>
      <c r="C22" s="15" t="s">
        <v>488</v>
      </c>
      <c r="D22" s="66" t="s">
        <v>421</v>
      </c>
      <c r="E22" s="90">
        <f>+(E10-E14)*E20/E12</f>
        <v>17183.7666</v>
      </c>
      <c r="F22" s="15" t="s">
        <v>489</v>
      </c>
      <c r="H22" s="102" t="s">
        <v>490</v>
      </c>
      <c r="I22" s="6"/>
      <c r="J22" s="6"/>
      <c r="K22" s="6"/>
      <c r="L22" s="6"/>
      <c r="M22" s="6"/>
      <c r="N22" s="6"/>
      <c r="O22" s="6"/>
      <c r="P22" s="103"/>
    </row>
    <row r="23" ht="15.75" customHeight="1">
      <c r="A23" s="104" t="s">
        <v>491</v>
      </c>
      <c r="B23" s="2"/>
      <c r="C23" s="2"/>
      <c r="D23" s="3"/>
      <c r="E23" s="105" t="str">
        <f>IF(AND(E21&gt;E7,E22&gt;E8),"Yes","NO")</f>
        <v>Yes</v>
      </c>
      <c r="F23" s="15"/>
      <c r="H23" s="106" t="s">
        <v>492</v>
      </c>
      <c r="P23" s="107"/>
    </row>
    <row r="24" ht="16.5" customHeight="1">
      <c r="A24" s="50"/>
      <c r="B24" s="21"/>
      <c r="C24" s="21"/>
      <c r="D24" s="37"/>
      <c r="E24" s="37"/>
      <c r="H24" s="108" t="s">
        <v>493</v>
      </c>
      <c r="I24" s="53"/>
      <c r="J24" s="53"/>
      <c r="K24" s="53"/>
      <c r="L24" s="53"/>
      <c r="M24" s="53"/>
      <c r="N24" s="53"/>
      <c r="O24" s="53"/>
      <c r="P24" s="109"/>
    </row>
    <row r="25" ht="19.5" customHeight="1">
      <c r="A25" s="110" t="s">
        <v>494</v>
      </c>
      <c r="B25" s="8"/>
      <c r="C25" s="8"/>
      <c r="D25" s="8"/>
      <c r="E25" s="9"/>
      <c r="P25" s="50"/>
    </row>
    <row r="26" ht="15.75" customHeight="1">
      <c r="A26" s="111" t="s">
        <v>495</v>
      </c>
      <c r="P26" s="50"/>
    </row>
    <row r="27" ht="12.75" customHeight="1">
      <c r="A27" s="50"/>
      <c r="B27" s="21"/>
      <c r="C27" s="21"/>
      <c r="D27" s="37"/>
      <c r="E27" s="37"/>
      <c r="P27" s="50"/>
    </row>
    <row r="28" ht="18.0" customHeight="1">
      <c r="A28" s="112" t="s">
        <v>496</v>
      </c>
      <c r="B28" s="113"/>
      <c r="C28" s="113"/>
      <c r="D28" s="113"/>
      <c r="E28" s="114"/>
      <c r="P28" s="50"/>
    </row>
    <row r="29" ht="15.75" customHeight="1">
      <c r="A29" s="11" t="s">
        <v>397</v>
      </c>
      <c r="B29" s="11" t="s">
        <v>398</v>
      </c>
      <c r="C29" s="11" t="s">
        <v>399</v>
      </c>
      <c r="D29" s="11" t="s">
        <v>9</v>
      </c>
      <c r="E29" s="11" t="s">
        <v>400</v>
      </c>
      <c r="F29" s="37"/>
      <c r="G29" s="37"/>
      <c r="H29" s="37"/>
      <c r="I29" s="37"/>
      <c r="J29" s="37"/>
      <c r="K29" s="37"/>
      <c r="L29" s="37"/>
      <c r="M29" s="37"/>
      <c r="N29" s="37"/>
      <c r="O29" s="37"/>
      <c r="P29" s="37"/>
      <c r="Q29" s="37"/>
      <c r="R29" s="37"/>
      <c r="S29" s="37"/>
      <c r="T29" s="37"/>
      <c r="U29" s="37"/>
      <c r="V29" s="37"/>
      <c r="W29" s="37"/>
      <c r="X29" s="37"/>
      <c r="Y29" s="37"/>
      <c r="Z29" s="37"/>
    </row>
    <row r="30" ht="15.75" customHeight="1">
      <c r="A30" s="84" t="s">
        <v>497</v>
      </c>
      <c r="B30" s="15" t="s">
        <v>439</v>
      </c>
      <c r="C30" s="94" t="s">
        <v>498</v>
      </c>
      <c r="D30" s="66" t="s">
        <v>499</v>
      </c>
      <c r="E30" s="91">
        <f>+E31*E33*E32*E34+E14</f>
        <v>4.0625</v>
      </c>
      <c r="F30" s="31"/>
      <c r="I30" s="31"/>
      <c r="J30" s="31"/>
      <c r="P30" s="50"/>
    </row>
    <row r="31" ht="28.5" customHeight="1">
      <c r="A31" s="84" t="s">
        <v>500</v>
      </c>
      <c r="B31" s="13" t="s">
        <v>501</v>
      </c>
      <c r="C31" s="15"/>
      <c r="D31" s="66" t="s">
        <v>502</v>
      </c>
      <c r="E31" s="67">
        <v>0.0</v>
      </c>
      <c r="F31" s="31"/>
      <c r="P31" s="50"/>
    </row>
    <row r="32" ht="25.5" customHeight="1">
      <c r="A32" s="70" t="s">
        <v>503</v>
      </c>
      <c r="B32" s="13" t="s">
        <v>504</v>
      </c>
      <c r="C32" s="15" t="s">
        <v>505</v>
      </c>
      <c r="D32" s="66" t="s">
        <v>448</v>
      </c>
      <c r="E32" s="95">
        <f>IF(E6/E5&lt;2.5,(1+0.2*E6/E5),1.5)</f>
        <v>1.5</v>
      </c>
      <c r="F32" s="31"/>
      <c r="P32" s="50"/>
    </row>
    <row r="33" ht="25.5" customHeight="1">
      <c r="A33" s="70" t="s">
        <v>506</v>
      </c>
      <c r="B33" s="13" t="s">
        <v>507</v>
      </c>
      <c r="C33" s="15" t="s">
        <v>508</v>
      </c>
      <c r="D33" s="66" t="s">
        <v>448</v>
      </c>
      <c r="E33" s="95">
        <v>5.14</v>
      </c>
      <c r="F33" s="31"/>
      <c r="P33" s="50"/>
    </row>
    <row r="34" ht="25.5" customHeight="1">
      <c r="A34" s="70" t="s">
        <v>509</v>
      </c>
      <c r="B34" s="13" t="s">
        <v>510</v>
      </c>
      <c r="C34" s="15" t="s">
        <v>511</v>
      </c>
      <c r="D34" s="66" t="s">
        <v>448</v>
      </c>
      <c r="E34" s="115">
        <v>1.2</v>
      </c>
      <c r="F34" s="31"/>
      <c r="P34" s="50"/>
    </row>
    <row r="35" ht="12.75" customHeight="1">
      <c r="A35" s="50"/>
      <c r="B35" s="21"/>
      <c r="C35" s="20"/>
      <c r="D35" s="37"/>
      <c r="E35" s="37"/>
      <c r="P35" s="50"/>
    </row>
    <row r="36" ht="18.0" customHeight="1">
      <c r="A36" s="112" t="s">
        <v>512</v>
      </c>
      <c r="B36" s="113"/>
      <c r="C36" s="113"/>
      <c r="D36" s="113"/>
      <c r="E36" s="114"/>
      <c r="F36" s="116"/>
      <c r="G36" s="116"/>
      <c r="H36" s="116"/>
      <c r="I36" s="116"/>
      <c r="J36" s="116"/>
      <c r="K36" s="116"/>
      <c r="L36" s="116"/>
      <c r="M36" s="116"/>
      <c r="N36" s="116"/>
      <c r="O36" s="116"/>
      <c r="P36" s="117"/>
      <c r="Q36" s="116"/>
      <c r="R36" s="116"/>
      <c r="S36" s="116"/>
      <c r="T36" s="116"/>
      <c r="U36" s="116"/>
      <c r="V36" s="116"/>
      <c r="W36" s="116"/>
      <c r="X36" s="116"/>
      <c r="Y36" s="116"/>
      <c r="Z36" s="116"/>
    </row>
    <row r="37" ht="15.75" customHeight="1">
      <c r="A37" s="11" t="s">
        <v>397</v>
      </c>
      <c r="B37" s="11" t="s">
        <v>398</v>
      </c>
      <c r="C37" s="11" t="s">
        <v>399</v>
      </c>
      <c r="D37" s="11" t="s">
        <v>9</v>
      </c>
      <c r="E37" s="11" t="s">
        <v>400</v>
      </c>
      <c r="F37" s="118"/>
      <c r="G37" s="118"/>
      <c r="H37" s="118"/>
      <c r="I37" s="118"/>
      <c r="J37" s="118"/>
      <c r="K37" s="118"/>
      <c r="L37" s="118"/>
      <c r="M37" s="118"/>
      <c r="N37" s="118"/>
      <c r="O37" s="118"/>
      <c r="P37" s="118"/>
      <c r="Q37" s="118"/>
      <c r="R37" s="118"/>
      <c r="S37" s="118"/>
      <c r="T37" s="118"/>
      <c r="U37" s="118"/>
      <c r="V37" s="118"/>
      <c r="W37" s="118"/>
      <c r="X37" s="118"/>
      <c r="Y37" s="118"/>
      <c r="Z37" s="118"/>
    </row>
    <row r="38" ht="15.75" customHeight="1">
      <c r="A38" s="84" t="s">
        <v>513</v>
      </c>
      <c r="B38" s="15" t="s">
        <v>439</v>
      </c>
      <c r="C38" s="94" t="s">
        <v>514</v>
      </c>
      <c r="D38" s="66" t="s">
        <v>515</v>
      </c>
      <c r="E38" s="91">
        <f>0.5*(E15/1728)*E5*E16*E41*E42+E14*E18*E40*E44*E43</f>
        <v>169.3550956</v>
      </c>
      <c r="P38" s="50"/>
    </row>
    <row r="39" ht="15.75" customHeight="1">
      <c r="A39" s="93" t="s">
        <v>391</v>
      </c>
      <c r="B39" s="13" t="s">
        <v>516</v>
      </c>
      <c r="C39" s="15"/>
      <c r="D39" s="66" t="s">
        <v>517</v>
      </c>
      <c r="E39" s="67">
        <v>30.0</v>
      </c>
      <c r="P39" s="50"/>
    </row>
    <row r="40" ht="25.5" customHeight="1">
      <c r="A40" s="70" t="s">
        <v>518</v>
      </c>
      <c r="B40" s="13" t="s">
        <v>519</v>
      </c>
      <c r="C40" s="15" t="s">
        <v>520</v>
      </c>
      <c r="D40" s="66" t="s">
        <v>448</v>
      </c>
      <c r="E40" s="91">
        <f>EXP(3.1416*TAN(E39*3.1416/180))*(TAN((45+E39/2)*3.1416/180))^2</f>
        <v>18.40150277</v>
      </c>
      <c r="P40" s="50"/>
    </row>
    <row r="41" ht="25.5" customHeight="1">
      <c r="A41" s="70" t="s">
        <v>521</v>
      </c>
      <c r="B41" s="43" t="s">
        <v>522</v>
      </c>
      <c r="C41" s="15" t="s">
        <v>523</v>
      </c>
      <c r="D41" s="66" t="s">
        <v>448</v>
      </c>
      <c r="E41" s="91">
        <f>2*(E40+1)*TAN(E39*3.1416/180)</f>
        <v>22.40298904</v>
      </c>
      <c r="P41" s="50"/>
    </row>
    <row r="42" ht="25.5" customHeight="1">
      <c r="A42" s="70" t="s">
        <v>524</v>
      </c>
      <c r="B42" s="13" t="s">
        <v>525</v>
      </c>
      <c r="C42" s="15" t="s">
        <v>526</v>
      </c>
      <c r="D42" s="66" t="s">
        <v>448</v>
      </c>
      <c r="E42" s="119">
        <v>0.6</v>
      </c>
      <c r="P42" s="50"/>
    </row>
    <row r="43" ht="25.5" customHeight="1">
      <c r="A43" s="70" t="s">
        <v>527</v>
      </c>
      <c r="B43" s="13" t="s">
        <v>525</v>
      </c>
      <c r="C43" s="15" t="s">
        <v>528</v>
      </c>
      <c r="D43" s="66" t="s">
        <v>448</v>
      </c>
      <c r="E43" s="91">
        <f>1+TAN(E39*3.1416/180)</f>
        <v>1.577351902</v>
      </c>
      <c r="P43" s="50"/>
    </row>
    <row r="44" ht="25.5" customHeight="1">
      <c r="A44" s="70" t="s">
        <v>529</v>
      </c>
      <c r="B44" s="13" t="s">
        <v>530</v>
      </c>
      <c r="C44" s="15" t="s">
        <v>531</v>
      </c>
      <c r="D44" s="66" t="s">
        <v>448</v>
      </c>
      <c r="E44" s="91">
        <f>1+2*TAN(E39*3.1416/180)*(1-SIN(E39*3.1416/180))^2*ATAN(E6/E5)</f>
        <v>1.343606626</v>
      </c>
      <c r="P44" s="50"/>
    </row>
    <row r="45" ht="12.75" customHeight="1">
      <c r="A45" s="50"/>
      <c r="B45" s="21"/>
      <c r="C45" s="21"/>
      <c r="D45" s="37"/>
      <c r="E45" s="37"/>
      <c r="P45" s="50"/>
    </row>
    <row r="46" ht="18.0" customHeight="1">
      <c r="A46" s="112" t="s">
        <v>532</v>
      </c>
      <c r="B46" s="113"/>
      <c r="C46" s="113"/>
      <c r="D46" s="113"/>
      <c r="E46" s="114"/>
      <c r="P46" s="50"/>
    </row>
    <row r="47" ht="15.75" customHeight="1">
      <c r="A47" s="11" t="s">
        <v>397</v>
      </c>
      <c r="B47" s="11" t="s">
        <v>398</v>
      </c>
      <c r="C47" s="11" t="s">
        <v>399</v>
      </c>
      <c r="D47" s="11" t="s">
        <v>9</v>
      </c>
      <c r="E47" s="11" t="s">
        <v>400</v>
      </c>
      <c r="F47" s="37"/>
      <c r="G47" s="37"/>
      <c r="H47" s="37"/>
      <c r="I47" s="37"/>
      <c r="J47" s="37"/>
      <c r="K47" s="37"/>
      <c r="L47" s="37"/>
      <c r="M47" s="37"/>
      <c r="N47" s="37"/>
      <c r="O47" s="37"/>
      <c r="P47" s="37"/>
      <c r="Q47" s="37"/>
      <c r="R47" s="37"/>
      <c r="S47" s="37"/>
      <c r="T47" s="37"/>
      <c r="U47" s="37"/>
      <c r="V47" s="37"/>
      <c r="W47" s="37"/>
      <c r="X47" s="37"/>
      <c r="Y47" s="37"/>
      <c r="Z47" s="37"/>
    </row>
    <row r="48" ht="15.75" customHeight="1">
      <c r="A48" s="84" t="s">
        <v>533</v>
      </c>
      <c r="B48" s="15" t="s">
        <v>439</v>
      </c>
      <c r="C48" s="94" t="s">
        <v>534</v>
      </c>
      <c r="D48" s="66" t="s">
        <v>535</v>
      </c>
      <c r="E48" s="91">
        <f>+E52*E55*E5*(E16+E18*E6/E5)</f>
        <v>0</v>
      </c>
      <c r="P48" s="50"/>
    </row>
    <row r="49" ht="15.75" customHeight="1">
      <c r="A49" s="70" t="s">
        <v>536</v>
      </c>
      <c r="B49" s="13" t="s">
        <v>537</v>
      </c>
      <c r="C49" s="15"/>
      <c r="D49" s="120" t="s">
        <v>538</v>
      </c>
      <c r="E49" s="67"/>
      <c r="P49" s="50"/>
    </row>
    <row r="50" ht="15.75" customHeight="1">
      <c r="A50" s="84" t="s">
        <v>539</v>
      </c>
      <c r="B50" s="15" t="s">
        <v>540</v>
      </c>
      <c r="C50" s="94"/>
      <c r="D50" s="66" t="s">
        <v>459</v>
      </c>
      <c r="E50" s="121"/>
      <c r="P50" s="50"/>
    </row>
    <row r="51" ht="15.75" customHeight="1">
      <c r="A51" s="70" t="s">
        <v>541</v>
      </c>
      <c r="B51" s="48" t="s">
        <v>542</v>
      </c>
      <c r="C51" s="15"/>
      <c r="D51" s="120" t="s">
        <v>538</v>
      </c>
      <c r="E51" s="67"/>
      <c r="P51" s="50"/>
    </row>
    <row r="52" ht="15.75" customHeight="1">
      <c r="A52" s="70" t="s">
        <v>543</v>
      </c>
      <c r="B52" s="48" t="s">
        <v>544</v>
      </c>
      <c r="C52" s="94" t="s">
        <v>545</v>
      </c>
      <c r="D52" s="120" t="s">
        <v>538</v>
      </c>
      <c r="E52" s="91">
        <f>+E51*(E53/E54)^0.5</f>
        <v>0</v>
      </c>
      <c r="P52" s="50"/>
    </row>
    <row r="53" ht="15.75" customHeight="1">
      <c r="A53" s="70" t="s">
        <v>546</v>
      </c>
      <c r="B53" s="13" t="s">
        <v>547</v>
      </c>
      <c r="C53" s="15"/>
      <c r="D53" s="66" t="s">
        <v>548</v>
      </c>
      <c r="E53" s="115">
        <v>14.7</v>
      </c>
      <c r="P53" s="50"/>
    </row>
    <row r="54" ht="15.75" customHeight="1">
      <c r="A54" s="93" t="s">
        <v>549</v>
      </c>
      <c r="B54" s="13" t="s">
        <v>550</v>
      </c>
      <c r="C54" s="15" t="s">
        <v>458</v>
      </c>
      <c r="D54" s="66" t="s">
        <v>551</v>
      </c>
      <c r="E54" s="91">
        <f t="array" ref="E54">(INDEX('Sheet 1'!A47:'Sheet 1'!F154,'Bearing Strength Assessment'!E50,6)+INDEX('Sheet 1'!A47:'Sheet 1'!F154,('Bearing Strength Assessment'!E50+1),6))/2</f>
        <v>0.0390625</v>
      </c>
      <c r="P54" s="50"/>
    </row>
    <row r="55" ht="15.75" customHeight="1">
      <c r="A55" s="70" t="s">
        <v>552</v>
      </c>
      <c r="B55" s="13" t="s">
        <v>553</v>
      </c>
      <c r="C55" s="15"/>
      <c r="D55" s="66" t="s">
        <v>554</v>
      </c>
      <c r="E55" s="122">
        <v>0.11574074074074074</v>
      </c>
      <c r="P55" s="50"/>
    </row>
    <row r="56" ht="63.0" customHeight="1">
      <c r="A56" s="123" t="s">
        <v>555</v>
      </c>
      <c r="B56" s="2"/>
      <c r="C56" s="2"/>
      <c r="D56" s="2"/>
      <c r="E56" s="3"/>
      <c r="P56" s="50"/>
    </row>
    <row r="57" ht="12.75" customHeight="1">
      <c r="A57" s="50"/>
      <c r="B57" s="21"/>
      <c r="C57" s="21"/>
      <c r="D57" s="37"/>
      <c r="E57" s="37"/>
      <c r="P57" s="50"/>
    </row>
    <row r="58" ht="18.0" customHeight="1">
      <c r="A58" s="112" t="s">
        <v>556</v>
      </c>
      <c r="B58" s="113"/>
      <c r="C58" s="113"/>
      <c r="D58" s="113"/>
      <c r="E58" s="114"/>
      <c r="P58" s="50"/>
    </row>
    <row r="59" ht="15.75" customHeight="1">
      <c r="A59" s="11" t="s">
        <v>397</v>
      </c>
      <c r="B59" s="11" t="s">
        <v>398</v>
      </c>
      <c r="C59" s="11" t="s">
        <v>399</v>
      </c>
      <c r="D59" s="11" t="s">
        <v>9</v>
      </c>
      <c r="E59" s="11" t="s">
        <v>400</v>
      </c>
      <c r="F59" s="37"/>
      <c r="G59" s="37"/>
      <c r="H59" s="37"/>
      <c r="I59" s="37"/>
      <c r="J59" s="37"/>
      <c r="K59" s="37"/>
      <c r="L59" s="37"/>
      <c r="M59" s="37"/>
      <c r="N59" s="37"/>
      <c r="O59" s="37"/>
      <c r="P59" s="37"/>
      <c r="Q59" s="37"/>
      <c r="R59" s="37"/>
      <c r="S59" s="37"/>
      <c r="T59" s="37"/>
      <c r="U59" s="37"/>
      <c r="V59" s="37"/>
      <c r="W59" s="37"/>
      <c r="X59" s="37"/>
      <c r="Y59" s="37"/>
      <c r="Z59" s="37"/>
    </row>
    <row r="60" ht="15.75" customHeight="1">
      <c r="A60" s="84" t="s">
        <v>557</v>
      </c>
      <c r="B60" s="15" t="s">
        <v>439</v>
      </c>
      <c r="C60" s="94" t="s">
        <v>558</v>
      </c>
      <c r="D60" s="66" t="s">
        <v>559</v>
      </c>
      <c r="E60" s="91">
        <f>+E62+E61/3</f>
        <v>79.2</v>
      </c>
      <c r="P60" s="50"/>
    </row>
    <row r="61" ht="38.25" customHeight="1">
      <c r="A61" s="70" t="s">
        <v>560</v>
      </c>
      <c r="B61" s="13" t="s">
        <v>561</v>
      </c>
      <c r="C61" s="15"/>
      <c r="D61" s="66" t="s">
        <v>562</v>
      </c>
      <c r="E61" s="67"/>
      <c r="P61" s="50"/>
    </row>
    <row r="62" ht="15.75" customHeight="1">
      <c r="A62" s="70" t="s">
        <v>563</v>
      </c>
      <c r="B62" s="13" t="s">
        <v>564</v>
      </c>
      <c r="C62" s="15"/>
      <c r="D62" s="66" t="s">
        <v>565</v>
      </c>
      <c r="E62" s="115">
        <v>79.2</v>
      </c>
      <c r="P62" s="50"/>
    </row>
    <row r="63" ht="12.75" customHeight="1">
      <c r="A63" s="50"/>
      <c r="B63" s="21"/>
      <c r="C63" s="21"/>
      <c r="D63" s="37"/>
      <c r="E63" s="37"/>
      <c r="P63" s="50"/>
    </row>
    <row r="64" ht="18.0" customHeight="1">
      <c r="A64" s="112" t="s">
        <v>566</v>
      </c>
      <c r="B64" s="113"/>
      <c r="C64" s="113"/>
      <c r="D64" s="113"/>
      <c r="E64" s="114"/>
      <c r="P64" s="50"/>
    </row>
    <row r="65" ht="15.75" customHeight="1">
      <c r="A65" s="11" t="s">
        <v>397</v>
      </c>
      <c r="B65" s="11" t="s">
        <v>398</v>
      </c>
      <c r="C65" s="11" t="s">
        <v>399</v>
      </c>
      <c r="D65" s="11" t="s">
        <v>9</v>
      </c>
      <c r="E65" s="11" t="s">
        <v>400</v>
      </c>
      <c r="F65" s="37"/>
      <c r="G65" s="37"/>
      <c r="H65" s="37"/>
      <c r="I65" s="37"/>
      <c r="J65" s="37"/>
      <c r="K65" s="37"/>
      <c r="L65" s="37"/>
      <c r="M65" s="37"/>
      <c r="N65" s="37"/>
      <c r="O65" s="37"/>
      <c r="P65" s="37"/>
      <c r="Q65" s="37"/>
      <c r="R65" s="37"/>
      <c r="S65" s="37"/>
      <c r="T65" s="37"/>
      <c r="U65" s="37"/>
      <c r="V65" s="37"/>
      <c r="W65" s="37"/>
      <c r="X65" s="37"/>
      <c r="Y65" s="37"/>
      <c r="Z65" s="37"/>
    </row>
    <row r="66" ht="15.75" customHeight="1">
      <c r="A66" s="124" t="s">
        <v>567</v>
      </c>
      <c r="B66" s="125" t="s">
        <v>439</v>
      </c>
      <c r="C66" s="126" t="s">
        <v>568</v>
      </c>
      <c r="D66" s="127" t="s">
        <v>569</v>
      </c>
      <c r="E66" s="128">
        <f>+E67*E5*(E16+E18*E6/E5)/E68</f>
        <v>0</v>
      </c>
      <c r="P66" s="50"/>
    </row>
    <row r="67" ht="38.25" customHeight="1">
      <c r="A67" s="70" t="s">
        <v>570</v>
      </c>
      <c r="B67" s="13" t="s">
        <v>571</v>
      </c>
      <c r="C67" s="15"/>
      <c r="D67" s="66" t="s">
        <v>572</v>
      </c>
      <c r="E67" s="67"/>
      <c r="P67" s="50"/>
    </row>
    <row r="68" ht="15.75" customHeight="1">
      <c r="A68" s="70" t="s">
        <v>573</v>
      </c>
      <c r="B68" s="13" t="s">
        <v>574</v>
      </c>
      <c r="C68" s="15"/>
      <c r="D68" s="66" t="s">
        <v>408</v>
      </c>
      <c r="E68" s="115">
        <v>480.0</v>
      </c>
      <c r="P68" s="50"/>
    </row>
    <row r="69" ht="12.75" customHeight="1">
      <c r="A69" s="129"/>
      <c r="B69" s="45"/>
      <c r="C69" s="20"/>
      <c r="D69" s="37"/>
      <c r="E69" s="37"/>
      <c r="F69" s="31"/>
      <c r="P69" s="50"/>
    </row>
    <row r="70" ht="18.0" customHeight="1">
      <c r="A70" s="112" t="s">
        <v>575</v>
      </c>
      <c r="B70" s="113"/>
      <c r="C70" s="113"/>
      <c r="D70" s="113"/>
      <c r="E70" s="114"/>
      <c r="F70" s="31"/>
      <c r="P70" s="50"/>
    </row>
    <row r="71" ht="15.75" customHeight="1">
      <c r="A71" s="11" t="s">
        <v>397</v>
      </c>
      <c r="B71" s="11" t="s">
        <v>398</v>
      </c>
      <c r="C71" s="11" t="s">
        <v>399</v>
      </c>
      <c r="D71" s="11" t="s">
        <v>9</v>
      </c>
      <c r="E71" s="11" t="s">
        <v>400</v>
      </c>
      <c r="F71" s="37"/>
      <c r="G71" s="37"/>
      <c r="H71" s="37"/>
      <c r="I71" s="37"/>
      <c r="J71" s="37"/>
      <c r="K71" s="37"/>
      <c r="L71" s="37"/>
      <c r="M71" s="37"/>
      <c r="N71" s="37"/>
      <c r="O71" s="37"/>
      <c r="P71" s="37"/>
      <c r="Q71" s="37"/>
      <c r="R71" s="37"/>
      <c r="S71" s="37"/>
      <c r="T71" s="37"/>
      <c r="U71" s="37"/>
      <c r="V71" s="37"/>
      <c r="W71" s="37"/>
      <c r="X71" s="37"/>
      <c r="Y71" s="37"/>
      <c r="Z71" s="37"/>
    </row>
    <row r="72" ht="15.75" customHeight="1">
      <c r="A72" s="84" t="s">
        <v>576</v>
      </c>
      <c r="B72" s="15" t="s">
        <v>439</v>
      </c>
      <c r="C72" s="94" t="s">
        <v>577</v>
      </c>
      <c r="D72" s="127" t="s">
        <v>578</v>
      </c>
      <c r="E72" s="128">
        <f>E14+E75*(E73-E74)</f>
        <v>4.0625</v>
      </c>
      <c r="F72" s="31"/>
      <c r="P72" s="50"/>
    </row>
    <row r="73" ht="28.5" customHeight="1">
      <c r="A73" s="70" t="s">
        <v>579</v>
      </c>
      <c r="B73" s="13" t="s">
        <v>580</v>
      </c>
      <c r="C73" s="15"/>
      <c r="D73" s="66" t="s">
        <v>581</v>
      </c>
      <c r="E73" s="67"/>
      <c r="F73" s="31"/>
      <c r="P73" s="50"/>
    </row>
    <row r="74" ht="15.75" customHeight="1">
      <c r="A74" s="70" t="s">
        <v>582</v>
      </c>
      <c r="B74" s="13" t="s">
        <v>583</v>
      </c>
      <c r="C74" s="15"/>
      <c r="D74" s="66" t="s">
        <v>584</v>
      </c>
      <c r="E74" s="67"/>
      <c r="F74" s="31"/>
      <c r="P74" s="50"/>
    </row>
    <row r="75" ht="15.75" customHeight="1">
      <c r="A75" s="70" t="s">
        <v>585</v>
      </c>
      <c r="B75" s="13" t="s">
        <v>586</v>
      </c>
      <c r="C75" s="15" t="s">
        <v>587</v>
      </c>
      <c r="D75" s="66" t="s">
        <v>448</v>
      </c>
      <c r="E75" s="130">
        <f>0.8+0.642*(E6/E5)-0.0839*(E6/E5)^2</f>
        <v>1.880625</v>
      </c>
      <c r="P75" s="50"/>
    </row>
    <row r="76" ht="12.75" customHeight="1">
      <c r="A76" s="50"/>
      <c r="B76" s="21"/>
      <c r="C76" s="21"/>
      <c r="D76" s="37"/>
      <c r="E76" s="37"/>
      <c r="P76" s="50"/>
    </row>
    <row r="77" ht="18.0" customHeight="1">
      <c r="A77" s="112" t="s">
        <v>588</v>
      </c>
      <c r="B77" s="113"/>
      <c r="C77" s="113"/>
      <c r="D77" s="113"/>
      <c r="E77" s="114"/>
      <c r="P77" s="50"/>
    </row>
    <row r="78" ht="15.75" customHeight="1">
      <c r="A78" s="11" t="s">
        <v>397</v>
      </c>
      <c r="B78" s="11" t="s">
        <v>398</v>
      </c>
      <c r="C78" s="11" t="s">
        <v>399</v>
      </c>
      <c r="D78" s="11" t="s">
        <v>9</v>
      </c>
      <c r="E78" s="11" t="s">
        <v>400</v>
      </c>
      <c r="F78" s="37"/>
      <c r="G78" s="37"/>
      <c r="H78" s="37"/>
      <c r="I78" s="37"/>
      <c r="J78" s="37"/>
      <c r="K78" s="37"/>
      <c r="L78" s="37"/>
      <c r="M78" s="37"/>
      <c r="N78" s="37"/>
      <c r="O78" s="37"/>
      <c r="P78" s="37"/>
      <c r="Q78" s="37"/>
      <c r="R78" s="37"/>
      <c r="S78" s="37"/>
      <c r="T78" s="37"/>
      <c r="U78" s="37"/>
      <c r="V78" s="37"/>
      <c r="W78" s="37"/>
      <c r="X78" s="37"/>
      <c r="Y78" s="37"/>
      <c r="Z78" s="37"/>
    </row>
    <row r="79" ht="15.75" customHeight="1">
      <c r="A79" s="84" t="s">
        <v>589</v>
      </c>
      <c r="B79" s="15" t="s">
        <v>439</v>
      </c>
      <c r="C79" s="94" t="s">
        <v>590</v>
      </c>
      <c r="D79" s="127" t="s">
        <v>591</v>
      </c>
      <c r="E79" s="128">
        <f>E14+E82*(E80-E81)</f>
        <v>4.0625</v>
      </c>
      <c r="P79" s="50"/>
    </row>
    <row r="80" ht="28.5" customHeight="1">
      <c r="A80" s="70" t="s">
        <v>592</v>
      </c>
      <c r="B80" s="13" t="s">
        <v>593</v>
      </c>
      <c r="C80" s="15"/>
      <c r="D80" s="66" t="s">
        <v>594</v>
      </c>
      <c r="E80" s="67"/>
      <c r="P80" s="50"/>
    </row>
    <row r="81" ht="15.75" customHeight="1">
      <c r="A81" s="70" t="s">
        <v>595</v>
      </c>
      <c r="B81" s="13" t="s">
        <v>583</v>
      </c>
      <c r="C81" s="15"/>
      <c r="D81" s="66" t="s">
        <v>596</v>
      </c>
      <c r="E81" s="67"/>
      <c r="P81" s="50"/>
    </row>
    <row r="82" ht="15.75" customHeight="1">
      <c r="A82" s="70" t="s">
        <v>597</v>
      </c>
      <c r="B82" s="13" t="s">
        <v>586</v>
      </c>
      <c r="C82" s="15" t="s">
        <v>598</v>
      </c>
      <c r="D82" s="66" t="s">
        <v>448</v>
      </c>
      <c r="E82" s="131">
        <f>0.8+0.384*(E6/E5)-0.0572*(E6/E5)^2</f>
        <v>1.4025</v>
      </c>
      <c r="P82" s="50"/>
    </row>
    <row r="83" ht="12.75" customHeight="1">
      <c r="A83" s="50"/>
      <c r="B83" s="21"/>
      <c r="C83" s="21"/>
      <c r="D83" s="37"/>
      <c r="E83" s="37"/>
      <c r="P83" s="50"/>
    </row>
    <row r="84" ht="18.0" customHeight="1">
      <c r="A84" s="112" t="s">
        <v>599</v>
      </c>
      <c r="B84" s="113"/>
      <c r="C84" s="113"/>
      <c r="D84" s="113"/>
      <c r="E84" s="114"/>
      <c r="P84" s="50"/>
    </row>
    <row r="85" ht="15.75" customHeight="1">
      <c r="A85" s="11" t="s">
        <v>397</v>
      </c>
      <c r="B85" s="11" t="s">
        <v>398</v>
      </c>
      <c r="C85" s="11" t="s">
        <v>399</v>
      </c>
      <c r="D85" s="11" t="s">
        <v>9</v>
      </c>
      <c r="E85" s="11" t="s">
        <v>400</v>
      </c>
      <c r="F85" s="37"/>
      <c r="G85" s="37"/>
      <c r="H85" s="37"/>
      <c r="I85" s="37"/>
      <c r="J85" s="37"/>
      <c r="K85" s="37"/>
      <c r="L85" s="37"/>
      <c r="M85" s="37"/>
      <c r="N85" s="37"/>
      <c r="O85" s="37"/>
      <c r="P85" s="37"/>
      <c r="Q85" s="37"/>
      <c r="R85" s="37"/>
      <c r="S85" s="37"/>
      <c r="T85" s="37"/>
      <c r="U85" s="37"/>
      <c r="V85" s="37"/>
      <c r="W85" s="37"/>
      <c r="X85" s="37"/>
      <c r="Y85" s="37"/>
      <c r="Z85" s="37"/>
    </row>
    <row r="86" ht="15.75" customHeight="1">
      <c r="A86" s="84" t="s">
        <v>600</v>
      </c>
      <c r="B86" s="15" t="s">
        <v>439</v>
      </c>
      <c r="C86" s="94" t="s">
        <v>601</v>
      </c>
      <c r="D86" s="127" t="s">
        <v>602</v>
      </c>
      <c r="E86" s="128">
        <f>E14+E89*(E87-E88)</f>
        <v>-1835.1325</v>
      </c>
      <c r="P86" s="50"/>
    </row>
    <row r="87" ht="28.5" customHeight="1">
      <c r="A87" s="70" t="s">
        <v>603</v>
      </c>
      <c r="B87" s="13" t="s">
        <v>604</v>
      </c>
      <c r="C87" s="15"/>
      <c r="D87" s="66" t="s">
        <v>605</v>
      </c>
      <c r="E87" s="67"/>
      <c r="P87" s="50"/>
    </row>
    <row r="88" ht="15.75" customHeight="1">
      <c r="A88" s="70" t="s">
        <v>606</v>
      </c>
      <c r="B88" s="13" t="s">
        <v>583</v>
      </c>
      <c r="C88" s="15"/>
      <c r="D88" s="66" t="s">
        <v>607</v>
      </c>
      <c r="E88" s="67">
        <v>1656.0</v>
      </c>
      <c r="P88" s="50"/>
    </row>
    <row r="89" ht="15.75" customHeight="1">
      <c r="A89" s="70" t="s">
        <v>608</v>
      </c>
      <c r="B89" s="13" t="s">
        <v>586</v>
      </c>
      <c r="C89" s="15" t="s">
        <v>609</v>
      </c>
      <c r="D89" s="66" t="s">
        <v>448</v>
      </c>
      <c r="E89" s="131">
        <f>0.8+0.223*(E6/E5)-0.0395*(E6/E5)^2</f>
        <v>1.110625</v>
      </c>
      <c r="P89" s="50"/>
    </row>
    <row r="90" ht="12.75" customHeight="1">
      <c r="A90" s="50"/>
      <c r="B90" s="21"/>
      <c r="C90" s="21"/>
      <c r="D90" s="37"/>
      <c r="E90" s="37"/>
      <c r="P90" s="50"/>
    </row>
    <row r="91" ht="12.75" customHeight="1">
      <c r="A91" s="50"/>
      <c r="B91" s="21"/>
      <c r="C91" s="21"/>
      <c r="D91" s="37"/>
      <c r="E91" s="37"/>
      <c r="P91" s="50"/>
    </row>
    <row r="92" ht="12.75" customHeight="1">
      <c r="A92" s="50"/>
      <c r="B92" s="21"/>
      <c r="C92" s="21"/>
      <c r="D92" s="37"/>
      <c r="E92" s="37"/>
      <c r="P92" s="50"/>
    </row>
    <row r="93" ht="12.75" customHeight="1">
      <c r="A93" s="50"/>
      <c r="B93" s="21"/>
      <c r="C93" s="21"/>
      <c r="D93" s="37"/>
      <c r="E93" s="37"/>
      <c r="P93" s="50"/>
    </row>
    <row r="94" ht="12.75" customHeight="1">
      <c r="A94" s="50"/>
      <c r="B94" s="21"/>
      <c r="C94" s="21"/>
      <c r="D94" s="37"/>
      <c r="E94" s="37"/>
      <c r="P94" s="50"/>
    </row>
    <row r="95" ht="12.75" customHeight="1">
      <c r="A95" s="50"/>
      <c r="B95" s="21"/>
      <c r="C95" s="21"/>
      <c r="D95" s="37"/>
      <c r="E95" s="37"/>
      <c r="P95" s="50"/>
    </row>
    <row r="96" ht="12.75" customHeight="1">
      <c r="A96" s="50"/>
      <c r="B96" s="21"/>
      <c r="C96" s="21"/>
      <c r="D96" s="37"/>
      <c r="E96" s="37"/>
      <c r="P96" s="50"/>
    </row>
    <row r="97" ht="16.5" customHeight="1">
      <c r="A97" s="50"/>
      <c r="B97" s="21"/>
      <c r="C97" s="21"/>
      <c r="D97" s="37"/>
      <c r="E97" s="37"/>
      <c r="P97" s="50"/>
    </row>
    <row r="98" ht="12.75" customHeight="1">
      <c r="A98" s="50"/>
      <c r="B98" s="21"/>
      <c r="C98" s="21"/>
      <c r="D98" s="37"/>
      <c r="E98" s="37"/>
      <c r="P98" s="50"/>
    </row>
    <row r="99" ht="12.75" customHeight="1">
      <c r="A99" s="50"/>
      <c r="B99" s="21"/>
      <c r="C99" s="21"/>
      <c r="D99" s="37"/>
      <c r="E99" s="37"/>
      <c r="P99" s="50"/>
    </row>
    <row r="100" ht="12.75" customHeight="1">
      <c r="A100" s="50"/>
      <c r="B100" s="21"/>
      <c r="C100" s="21"/>
      <c r="D100" s="37"/>
      <c r="E100" s="37"/>
      <c r="P100" s="50"/>
    </row>
    <row r="101" ht="12.75" customHeight="1">
      <c r="A101" s="50"/>
      <c r="B101" s="21"/>
      <c r="C101" s="21"/>
      <c r="D101" s="37"/>
      <c r="E101" s="37"/>
      <c r="P101" s="50"/>
    </row>
    <row r="102" ht="12.75" customHeight="1">
      <c r="A102" s="50"/>
      <c r="B102" s="21"/>
      <c r="C102" s="21"/>
      <c r="D102" s="37"/>
      <c r="E102" s="37"/>
      <c r="P102" s="50"/>
    </row>
    <row r="103" ht="12.75" customHeight="1">
      <c r="A103" s="50"/>
      <c r="B103" s="21"/>
      <c r="C103" s="21"/>
      <c r="D103" s="37"/>
      <c r="E103" s="37"/>
      <c r="P103" s="50"/>
    </row>
    <row r="104" ht="12.75" customHeight="1">
      <c r="A104" s="50"/>
      <c r="B104" s="21"/>
      <c r="C104" s="21"/>
      <c r="D104" s="37"/>
      <c r="E104" s="37"/>
      <c r="P104" s="50"/>
    </row>
    <row r="105" ht="12.75" customHeight="1">
      <c r="A105" s="50"/>
      <c r="B105" s="21"/>
      <c r="C105" s="21"/>
      <c r="D105" s="37"/>
      <c r="E105" s="37"/>
      <c r="P105" s="50"/>
    </row>
    <row r="106" ht="12.75" customHeight="1">
      <c r="A106" s="50"/>
      <c r="B106" s="21"/>
      <c r="C106" s="21"/>
      <c r="D106" s="37"/>
      <c r="E106" s="37"/>
      <c r="P106" s="50"/>
    </row>
    <row r="107" ht="12.75" customHeight="1">
      <c r="A107" s="50"/>
      <c r="B107" s="21"/>
      <c r="C107" s="21"/>
      <c r="D107" s="37"/>
      <c r="E107" s="37"/>
      <c r="P107" s="50"/>
    </row>
    <row r="108" ht="12.75" customHeight="1">
      <c r="A108" s="50"/>
      <c r="B108" s="21"/>
      <c r="C108" s="21"/>
      <c r="D108" s="37"/>
      <c r="E108" s="37"/>
      <c r="P108" s="50"/>
    </row>
    <row r="109" ht="12.75" customHeight="1">
      <c r="A109" s="50"/>
      <c r="B109" s="21"/>
      <c r="C109" s="21"/>
      <c r="D109" s="37"/>
      <c r="E109" s="37"/>
      <c r="P109" s="50"/>
    </row>
    <row r="110" ht="12.75" customHeight="1">
      <c r="A110" s="50"/>
      <c r="B110" s="21"/>
      <c r="C110" s="21"/>
      <c r="D110" s="37"/>
      <c r="E110" s="37"/>
      <c r="P110" s="50"/>
    </row>
    <row r="111" ht="12.75" customHeight="1">
      <c r="A111" s="50"/>
      <c r="B111" s="21"/>
      <c r="C111" s="21"/>
      <c r="D111" s="37"/>
      <c r="E111" s="37"/>
      <c r="P111" s="50"/>
    </row>
    <row r="112" ht="12.75" customHeight="1">
      <c r="A112" s="50"/>
      <c r="B112" s="21"/>
      <c r="C112" s="21"/>
      <c r="D112" s="37"/>
      <c r="E112" s="37"/>
      <c r="P112" s="50"/>
    </row>
    <row r="113" ht="12.75" customHeight="1">
      <c r="A113" s="50"/>
      <c r="B113" s="21"/>
      <c r="C113" s="21"/>
      <c r="D113" s="37"/>
      <c r="E113" s="37"/>
      <c r="P113" s="50"/>
    </row>
    <row r="114" ht="12.75" customHeight="1">
      <c r="A114" s="50"/>
      <c r="B114" s="21"/>
      <c r="C114" s="21"/>
      <c r="D114" s="37"/>
      <c r="E114" s="37"/>
      <c r="P114" s="50"/>
    </row>
    <row r="115" ht="12.75" customHeight="1">
      <c r="A115" s="50"/>
      <c r="B115" s="21"/>
      <c r="C115" s="21"/>
      <c r="D115" s="37"/>
      <c r="E115" s="37"/>
      <c r="P115" s="50"/>
    </row>
    <row r="116" ht="12.75" customHeight="1">
      <c r="A116" s="50"/>
      <c r="B116" s="21"/>
      <c r="C116" s="21"/>
      <c r="D116" s="37"/>
      <c r="E116" s="37"/>
      <c r="P116" s="50"/>
    </row>
    <row r="117" ht="12.75" customHeight="1">
      <c r="A117" s="50"/>
      <c r="B117" s="21"/>
      <c r="C117" s="21"/>
      <c r="D117" s="37"/>
      <c r="E117" s="37"/>
      <c r="P117" s="50"/>
    </row>
    <row r="118" ht="12.75" customHeight="1">
      <c r="A118" s="50"/>
      <c r="B118" s="21"/>
      <c r="C118" s="21"/>
      <c r="D118" s="37"/>
      <c r="E118" s="37"/>
      <c r="P118" s="50"/>
    </row>
    <row r="119" ht="12.75" customHeight="1">
      <c r="A119" s="50"/>
      <c r="B119" s="21"/>
      <c r="C119" s="21"/>
      <c r="D119" s="37"/>
      <c r="E119" s="37"/>
      <c r="P119" s="50"/>
    </row>
    <row r="120" ht="12.75" customHeight="1">
      <c r="A120" s="50"/>
      <c r="B120" s="21"/>
      <c r="C120" s="21"/>
      <c r="D120" s="37"/>
      <c r="E120" s="37"/>
      <c r="P120" s="50"/>
    </row>
    <row r="121" ht="12.75" customHeight="1">
      <c r="A121" s="50"/>
      <c r="B121" s="21"/>
      <c r="C121" s="21"/>
      <c r="D121" s="37"/>
      <c r="E121" s="37"/>
      <c r="P121" s="50"/>
    </row>
    <row r="122" ht="12.75" customHeight="1">
      <c r="A122" s="50"/>
      <c r="B122" s="21"/>
      <c r="C122" s="21"/>
      <c r="D122" s="37"/>
      <c r="E122" s="37"/>
      <c r="P122" s="50"/>
    </row>
    <row r="123" ht="12.75" customHeight="1">
      <c r="A123" s="50"/>
      <c r="B123" s="21"/>
      <c r="C123" s="21"/>
      <c r="D123" s="37"/>
      <c r="E123" s="37"/>
      <c r="P123" s="50"/>
    </row>
    <row r="124" ht="12.75" customHeight="1">
      <c r="A124" s="50"/>
      <c r="B124" s="21"/>
      <c r="C124" s="21"/>
      <c r="D124" s="37"/>
      <c r="E124" s="37"/>
      <c r="P124" s="50"/>
    </row>
    <row r="125" ht="12.75" customHeight="1">
      <c r="A125" s="50"/>
      <c r="B125" s="21"/>
      <c r="C125" s="21"/>
      <c r="D125" s="37"/>
      <c r="E125" s="37"/>
      <c r="P125" s="50"/>
    </row>
    <row r="126" ht="12.75" customHeight="1">
      <c r="A126" s="50"/>
      <c r="B126" s="21"/>
      <c r="C126" s="21"/>
      <c r="D126" s="37"/>
      <c r="E126" s="37"/>
      <c r="P126" s="50"/>
    </row>
    <row r="127" ht="12.75" customHeight="1">
      <c r="A127" s="50"/>
      <c r="B127" s="21"/>
      <c r="C127" s="21"/>
      <c r="D127" s="37"/>
      <c r="E127" s="37"/>
      <c r="P127" s="50"/>
    </row>
    <row r="128" ht="12.75" customHeight="1">
      <c r="A128" s="50"/>
      <c r="B128" s="21"/>
      <c r="C128" s="21"/>
      <c r="D128" s="37"/>
      <c r="E128" s="37"/>
      <c r="P128" s="50"/>
    </row>
    <row r="129" ht="12.75" customHeight="1">
      <c r="A129" s="50"/>
      <c r="B129" s="21"/>
      <c r="C129" s="21"/>
      <c r="D129" s="37"/>
      <c r="E129" s="37"/>
      <c r="P129" s="50"/>
    </row>
    <row r="130" ht="12.75" customHeight="1">
      <c r="A130" s="50"/>
      <c r="B130" s="21"/>
      <c r="C130" s="21"/>
      <c r="D130" s="37"/>
      <c r="E130" s="37"/>
      <c r="P130" s="50"/>
    </row>
    <row r="131" ht="12.75" customHeight="1">
      <c r="A131" s="50"/>
      <c r="B131" s="21"/>
      <c r="C131" s="21"/>
      <c r="D131" s="37"/>
      <c r="E131" s="37"/>
      <c r="P131" s="50"/>
    </row>
    <row r="132" ht="12.75" customHeight="1">
      <c r="A132" s="50"/>
      <c r="B132" s="21"/>
      <c r="C132" s="21"/>
      <c r="D132" s="37"/>
      <c r="E132" s="37"/>
      <c r="P132" s="50"/>
    </row>
    <row r="133" ht="12.75" customHeight="1">
      <c r="A133" s="50"/>
      <c r="B133" s="21"/>
      <c r="C133" s="21"/>
      <c r="D133" s="37"/>
      <c r="E133" s="37"/>
      <c r="P133" s="50"/>
    </row>
    <row r="134" ht="12.75" customHeight="1">
      <c r="A134" s="50"/>
      <c r="B134" s="21"/>
      <c r="C134" s="21"/>
      <c r="D134" s="37"/>
      <c r="E134" s="37"/>
      <c r="P134" s="50"/>
    </row>
    <row r="135" ht="12.75" customHeight="1">
      <c r="A135" s="50"/>
      <c r="B135" s="21"/>
      <c r="C135" s="21"/>
      <c r="D135" s="37"/>
      <c r="E135" s="37"/>
      <c r="P135" s="50"/>
    </row>
    <row r="136" ht="12.75" customHeight="1">
      <c r="A136" s="50"/>
      <c r="B136" s="21"/>
      <c r="C136" s="21"/>
      <c r="D136" s="37"/>
      <c r="E136" s="37"/>
      <c r="P136" s="50"/>
    </row>
    <row r="137" ht="12.75" customHeight="1">
      <c r="A137" s="50"/>
      <c r="B137" s="21"/>
      <c r="C137" s="21"/>
      <c r="D137" s="37"/>
      <c r="E137" s="37"/>
      <c r="P137" s="50"/>
    </row>
    <row r="138" ht="12.75" customHeight="1">
      <c r="A138" s="50"/>
      <c r="B138" s="21"/>
      <c r="C138" s="21"/>
      <c r="D138" s="37"/>
      <c r="E138" s="37"/>
      <c r="P138" s="50"/>
    </row>
    <row r="139" ht="12.75" customHeight="1">
      <c r="A139" s="50"/>
      <c r="B139" s="21"/>
      <c r="C139" s="21"/>
      <c r="D139" s="37"/>
      <c r="E139" s="37"/>
      <c r="P139" s="50"/>
    </row>
    <row r="140" ht="12.75" customHeight="1">
      <c r="A140" s="50"/>
      <c r="B140" s="21"/>
      <c r="C140" s="21"/>
      <c r="D140" s="37"/>
      <c r="E140" s="37"/>
      <c r="P140" s="50"/>
    </row>
    <row r="141" ht="12.75" customHeight="1">
      <c r="A141" s="50"/>
      <c r="B141" s="21"/>
      <c r="C141" s="21"/>
      <c r="D141" s="37"/>
      <c r="E141" s="37"/>
      <c r="P141" s="50"/>
    </row>
    <row r="142" ht="12.75" customHeight="1">
      <c r="A142" s="50"/>
      <c r="B142" s="21"/>
      <c r="C142" s="21"/>
      <c r="D142" s="37"/>
      <c r="E142" s="37"/>
      <c r="P142" s="50"/>
    </row>
    <row r="143" ht="12.75" customHeight="1">
      <c r="A143" s="50"/>
      <c r="B143" s="21"/>
      <c r="C143" s="21"/>
      <c r="D143" s="37"/>
      <c r="E143" s="37"/>
      <c r="P143" s="50"/>
    </row>
    <row r="144" ht="12.75" customHeight="1">
      <c r="A144" s="50"/>
      <c r="B144" s="21"/>
      <c r="C144" s="21"/>
      <c r="D144" s="37"/>
      <c r="E144" s="37"/>
      <c r="P144" s="50"/>
    </row>
    <row r="145" ht="12.75" customHeight="1">
      <c r="A145" s="50"/>
      <c r="B145" s="21"/>
      <c r="C145" s="21"/>
      <c r="D145" s="37"/>
      <c r="E145" s="37"/>
      <c r="P145" s="50"/>
    </row>
    <row r="146" ht="12.75" customHeight="1">
      <c r="A146" s="50"/>
      <c r="B146" s="21"/>
      <c r="C146" s="21"/>
      <c r="D146" s="37"/>
      <c r="E146" s="37"/>
      <c r="P146" s="50"/>
    </row>
    <row r="147" ht="12.75" customHeight="1">
      <c r="A147" s="50"/>
      <c r="B147" s="21"/>
      <c r="C147" s="21"/>
      <c r="D147" s="37"/>
      <c r="E147" s="37"/>
      <c r="P147" s="50"/>
    </row>
    <row r="148" ht="12.75" customHeight="1">
      <c r="A148" s="50"/>
      <c r="B148" s="21"/>
      <c r="C148" s="21"/>
      <c r="D148" s="37"/>
      <c r="E148" s="37"/>
      <c r="P148" s="50"/>
    </row>
    <row r="149" ht="12.75" customHeight="1">
      <c r="A149" s="50"/>
      <c r="B149" s="21"/>
      <c r="C149" s="21"/>
      <c r="D149" s="37"/>
      <c r="E149" s="37"/>
      <c r="P149" s="50"/>
    </row>
    <row r="150" ht="12.75" customHeight="1">
      <c r="A150" s="50"/>
      <c r="B150" s="21"/>
      <c r="C150" s="21"/>
      <c r="D150" s="37"/>
      <c r="E150" s="37"/>
      <c r="P150" s="50"/>
    </row>
    <row r="151" ht="12.75" customHeight="1">
      <c r="A151" s="50"/>
      <c r="B151" s="21"/>
      <c r="C151" s="21"/>
      <c r="D151" s="37"/>
      <c r="E151" s="37"/>
      <c r="P151" s="50"/>
    </row>
    <row r="152" ht="12.75" customHeight="1">
      <c r="A152" s="50"/>
      <c r="B152" s="21"/>
      <c r="C152" s="21"/>
      <c r="D152" s="37"/>
      <c r="E152" s="37"/>
      <c r="P152" s="50"/>
    </row>
    <row r="153" ht="12.75" customHeight="1">
      <c r="A153" s="50"/>
      <c r="B153" s="21"/>
      <c r="C153" s="21"/>
      <c r="D153" s="37"/>
      <c r="E153" s="37"/>
      <c r="P153" s="50"/>
    </row>
    <row r="154" ht="12.75" customHeight="1">
      <c r="A154" s="50"/>
      <c r="B154" s="21"/>
      <c r="C154" s="21"/>
      <c r="D154" s="37"/>
      <c r="E154" s="37"/>
      <c r="P154" s="50"/>
    </row>
    <row r="155" ht="12.75" customHeight="1">
      <c r="A155" s="50"/>
      <c r="B155" s="21"/>
      <c r="C155" s="21"/>
      <c r="D155" s="37"/>
      <c r="E155" s="37"/>
      <c r="P155" s="50"/>
    </row>
    <row r="156" ht="12.75" customHeight="1">
      <c r="A156" s="50"/>
      <c r="B156" s="21"/>
      <c r="C156" s="21"/>
      <c r="D156" s="37"/>
      <c r="E156" s="37"/>
      <c r="P156" s="50"/>
    </row>
    <row r="157" ht="12.75" customHeight="1">
      <c r="A157" s="50"/>
      <c r="B157" s="21"/>
      <c r="C157" s="21"/>
      <c r="D157" s="37"/>
      <c r="E157" s="37"/>
      <c r="P157" s="50"/>
    </row>
    <row r="158" ht="12.75" customHeight="1">
      <c r="A158" s="50"/>
      <c r="B158" s="21"/>
      <c r="C158" s="21"/>
      <c r="D158" s="37"/>
      <c r="E158" s="37"/>
      <c r="P158" s="50"/>
    </row>
    <row r="159" ht="12.75" customHeight="1">
      <c r="A159" s="50"/>
      <c r="B159" s="21"/>
      <c r="C159" s="21"/>
      <c r="D159" s="37"/>
      <c r="E159" s="37"/>
      <c r="P159" s="50"/>
    </row>
    <row r="160" ht="12.75" customHeight="1">
      <c r="A160" s="50"/>
      <c r="B160" s="21"/>
      <c r="C160" s="21"/>
      <c r="D160" s="37"/>
      <c r="E160" s="37"/>
      <c r="P160" s="50"/>
    </row>
    <row r="161" ht="12.75" customHeight="1">
      <c r="A161" s="50"/>
      <c r="B161" s="21"/>
      <c r="C161" s="21"/>
      <c r="D161" s="37"/>
      <c r="E161" s="37"/>
      <c r="P161" s="50"/>
    </row>
    <row r="162" ht="12.75" customHeight="1">
      <c r="A162" s="50"/>
      <c r="B162" s="21"/>
      <c r="C162" s="21"/>
      <c r="D162" s="37"/>
      <c r="E162" s="37"/>
      <c r="P162" s="50"/>
    </row>
    <row r="163" ht="12.75" customHeight="1">
      <c r="A163" s="50"/>
      <c r="B163" s="21"/>
      <c r="C163" s="21"/>
      <c r="D163" s="37"/>
      <c r="E163" s="37"/>
      <c r="P163" s="50"/>
    </row>
    <row r="164" ht="12.75" customHeight="1">
      <c r="A164" s="50"/>
      <c r="B164" s="21"/>
      <c r="C164" s="21"/>
      <c r="D164" s="37"/>
      <c r="E164" s="37"/>
      <c r="P164" s="50"/>
    </row>
    <row r="165" ht="12.75" customHeight="1">
      <c r="A165" s="50"/>
      <c r="B165" s="21"/>
      <c r="C165" s="21"/>
      <c r="D165" s="37"/>
      <c r="E165" s="37"/>
      <c r="P165" s="50"/>
    </row>
    <row r="166" ht="12.75" customHeight="1">
      <c r="A166" s="50"/>
      <c r="B166" s="21"/>
      <c r="C166" s="21"/>
      <c r="D166" s="37"/>
      <c r="E166" s="37"/>
      <c r="P166" s="50"/>
    </row>
    <row r="167" ht="12.75" customHeight="1">
      <c r="A167" s="50"/>
      <c r="B167" s="21"/>
      <c r="C167" s="21"/>
      <c r="D167" s="37"/>
      <c r="E167" s="37"/>
      <c r="P167" s="50"/>
    </row>
    <row r="168" ht="12.75" customHeight="1">
      <c r="A168" s="50"/>
      <c r="B168" s="21"/>
      <c r="C168" s="21"/>
      <c r="D168" s="37"/>
      <c r="E168" s="37"/>
      <c r="P168" s="50"/>
    </row>
    <row r="169" ht="12.75" customHeight="1">
      <c r="A169" s="50"/>
      <c r="B169" s="21"/>
      <c r="C169" s="21"/>
      <c r="D169" s="37"/>
      <c r="E169" s="37"/>
      <c r="P169" s="50"/>
    </row>
    <row r="170" ht="12.75" customHeight="1">
      <c r="A170" s="50"/>
      <c r="B170" s="21"/>
      <c r="C170" s="21"/>
      <c r="D170" s="37"/>
      <c r="E170" s="37"/>
      <c r="P170" s="50"/>
    </row>
    <row r="171" ht="12.75" customHeight="1">
      <c r="A171" s="50"/>
      <c r="B171" s="21"/>
      <c r="C171" s="21"/>
      <c r="D171" s="37"/>
      <c r="E171" s="37"/>
      <c r="P171" s="50"/>
    </row>
    <row r="172" ht="12.75" customHeight="1">
      <c r="A172" s="50"/>
      <c r="B172" s="21"/>
      <c r="C172" s="21"/>
      <c r="D172" s="37"/>
      <c r="E172" s="37"/>
      <c r="P172" s="50"/>
    </row>
    <row r="173" ht="12.75" customHeight="1">
      <c r="A173" s="50"/>
      <c r="B173" s="21"/>
      <c r="C173" s="21"/>
      <c r="D173" s="37"/>
      <c r="E173" s="37"/>
      <c r="P173" s="50"/>
    </row>
    <row r="174" ht="12.75" customHeight="1">
      <c r="A174" s="50"/>
      <c r="B174" s="21"/>
      <c r="C174" s="21"/>
      <c r="D174" s="37"/>
      <c r="E174" s="37"/>
      <c r="P174" s="50"/>
    </row>
    <row r="175" ht="12.75" customHeight="1">
      <c r="A175" s="50"/>
      <c r="B175" s="21"/>
      <c r="C175" s="21"/>
      <c r="D175" s="37"/>
      <c r="E175" s="37"/>
      <c r="P175" s="50"/>
    </row>
    <row r="176" ht="12.75" customHeight="1">
      <c r="A176" s="50"/>
      <c r="B176" s="21"/>
      <c r="C176" s="21"/>
      <c r="D176" s="37"/>
      <c r="E176" s="37"/>
      <c r="P176" s="50"/>
    </row>
    <row r="177" ht="12.75" customHeight="1">
      <c r="A177" s="50"/>
      <c r="B177" s="21"/>
      <c r="C177" s="21"/>
      <c r="D177" s="37"/>
      <c r="E177" s="37"/>
      <c r="P177" s="50"/>
    </row>
    <row r="178" ht="12.75" customHeight="1">
      <c r="A178" s="50"/>
      <c r="B178" s="21"/>
      <c r="C178" s="21"/>
      <c r="D178" s="37"/>
      <c r="E178" s="37"/>
      <c r="P178" s="50"/>
    </row>
    <row r="179" ht="12.75" customHeight="1">
      <c r="A179" s="50"/>
      <c r="B179" s="21"/>
      <c r="C179" s="21"/>
      <c r="D179" s="37"/>
      <c r="E179" s="37"/>
      <c r="P179" s="50"/>
    </row>
    <row r="180" ht="12.75" customHeight="1">
      <c r="A180" s="50"/>
      <c r="B180" s="21"/>
      <c r="C180" s="21"/>
      <c r="D180" s="37"/>
      <c r="E180" s="37"/>
      <c r="P180" s="50"/>
    </row>
    <row r="181" ht="12.75" customHeight="1">
      <c r="A181" s="50"/>
      <c r="B181" s="21"/>
      <c r="C181" s="21"/>
      <c r="D181" s="37"/>
      <c r="E181" s="37"/>
      <c r="P181" s="50"/>
    </row>
    <row r="182" ht="12.75" customHeight="1">
      <c r="A182" s="50"/>
      <c r="B182" s="21"/>
      <c r="C182" s="21"/>
      <c r="D182" s="37"/>
      <c r="E182" s="37"/>
      <c r="P182" s="50"/>
    </row>
    <row r="183" ht="12.75" customHeight="1">
      <c r="A183" s="50"/>
      <c r="B183" s="21"/>
      <c r="C183" s="21"/>
      <c r="D183" s="37"/>
      <c r="E183" s="37"/>
      <c r="P183" s="50"/>
    </row>
    <row r="184" ht="12.75" customHeight="1">
      <c r="A184" s="50"/>
      <c r="B184" s="21"/>
      <c r="C184" s="21"/>
      <c r="D184" s="37"/>
      <c r="E184" s="37"/>
      <c r="P184" s="50"/>
    </row>
    <row r="185" ht="12.75" customHeight="1">
      <c r="A185" s="50"/>
      <c r="B185" s="21"/>
      <c r="C185" s="21"/>
      <c r="D185" s="37"/>
      <c r="E185" s="37"/>
      <c r="P185" s="50"/>
    </row>
    <row r="186" ht="12.75" customHeight="1">
      <c r="A186" s="50"/>
      <c r="B186" s="21"/>
      <c r="C186" s="21"/>
      <c r="D186" s="37"/>
      <c r="E186" s="37"/>
      <c r="P186" s="50"/>
    </row>
    <row r="187" ht="12.75" customHeight="1">
      <c r="A187" s="50"/>
      <c r="B187" s="21"/>
      <c r="C187" s="21"/>
      <c r="D187" s="37"/>
      <c r="E187" s="37"/>
      <c r="P187" s="50"/>
    </row>
    <row r="188" ht="12.75" customHeight="1">
      <c r="A188" s="50"/>
      <c r="B188" s="21"/>
      <c r="C188" s="21"/>
      <c r="D188" s="37"/>
      <c r="E188" s="37"/>
      <c r="P188" s="50"/>
    </row>
    <row r="189" ht="12.75" customHeight="1">
      <c r="A189" s="50"/>
      <c r="B189" s="21"/>
      <c r="C189" s="21"/>
      <c r="D189" s="37"/>
      <c r="E189" s="37"/>
      <c r="P189" s="50"/>
    </row>
    <row r="190" ht="12.75" customHeight="1">
      <c r="A190" s="50"/>
      <c r="B190" s="21"/>
      <c r="C190" s="21"/>
      <c r="D190" s="37"/>
      <c r="E190" s="37"/>
      <c r="P190" s="50"/>
    </row>
    <row r="191" ht="12.75" customHeight="1">
      <c r="A191" s="50"/>
      <c r="B191" s="21"/>
      <c r="C191" s="21"/>
      <c r="D191" s="37"/>
      <c r="E191" s="37"/>
      <c r="P191" s="50"/>
    </row>
    <row r="192" ht="12.75" customHeight="1">
      <c r="A192" s="50"/>
      <c r="B192" s="21"/>
      <c r="C192" s="21"/>
      <c r="D192" s="37"/>
      <c r="E192" s="37"/>
      <c r="P192" s="50"/>
    </row>
    <row r="193" ht="12.75" customHeight="1">
      <c r="A193" s="50"/>
      <c r="B193" s="21"/>
      <c r="C193" s="21"/>
      <c r="D193" s="37"/>
      <c r="E193" s="37"/>
      <c r="P193" s="50"/>
    </row>
    <row r="194" ht="12.75" customHeight="1">
      <c r="A194" s="50"/>
      <c r="B194" s="21"/>
      <c r="C194" s="21"/>
      <c r="D194" s="37"/>
      <c r="E194" s="37"/>
      <c r="P194" s="50"/>
    </row>
    <row r="195" ht="12.75" customHeight="1">
      <c r="A195" s="50"/>
      <c r="B195" s="21"/>
      <c r="C195" s="21"/>
      <c r="D195" s="37"/>
      <c r="E195" s="37"/>
      <c r="P195" s="50"/>
    </row>
    <row r="196" ht="12.75" customHeight="1">
      <c r="A196" s="50"/>
      <c r="B196" s="21"/>
      <c r="C196" s="21"/>
      <c r="D196" s="37"/>
      <c r="E196" s="37"/>
      <c r="P196" s="50"/>
    </row>
    <row r="197" ht="12.75" customHeight="1">
      <c r="A197" s="50"/>
      <c r="B197" s="21"/>
      <c r="C197" s="21"/>
      <c r="D197" s="37"/>
      <c r="E197" s="37"/>
      <c r="P197" s="50"/>
    </row>
    <row r="198" ht="12.75" customHeight="1">
      <c r="A198" s="50"/>
      <c r="B198" s="21"/>
      <c r="C198" s="21"/>
      <c r="D198" s="37"/>
      <c r="E198" s="37"/>
      <c r="P198" s="50"/>
    </row>
    <row r="199" ht="12.75" customHeight="1">
      <c r="A199" s="50"/>
      <c r="B199" s="21"/>
      <c r="C199" s="21"/>
      <c r="D199" s="37"/>
      <c r="E199" s="37"/>
      <c r="P199" s="50"/>
    </row>
    <row r="200" ht="12.75" customHeight="1">
      <c r="A200" s="50"/>
      <c r="B200" s="21"/>
      <c r="C200" s="21"/>
      <c r="D200" s="37"/>
      <c r="E200" s="37"/>
      <c r="P200" s="50"/>
    </row>
    <row r="201" ht="12.75" customHeight="1">
      <c r="A201" s="50"/>
      <c r="B201" s="21"/>
      <c r="C201" s="21"/>
      <c r="D201" s="37"/>
      <c r="E201" s="37"/>
      <c r="P201" s="50"/>
    </row>
    <row r="202" ht="12.75" customHeight="1">
      <c r="A202" s="50"/>
      <c r="B202" s="21"/>
      <c r="C202" s="21"/>
      <c r="D202" s="37"/>
      <c r="E202" s="37"/>
      <c r="P202" s="50"/>
    </row>
    <row r="203" ht="12.75" customHeight="1">
      <c r="A203" s="50"/>
      <c r="B203" s="21"/>
      <c r="C203" s="21"/>
      <c r="D203" s="37"/>
      <c r="E203" s="37"/>
      <c r="P203" s="50"/>
    </row>
    <row r="204" ht="12.75" customHeight="1">
      <c r="A204" s="50"/>
      <c r="B204" s="21"/>
      <c r="C204" s="21"/>
      <c r="D204" s="37"/>
      <c r="E204" s="37"/>
      <c r="P204" s="50"/>
    </row>
    <row r="205" ht="12.75" customHeight="1">
      <c r="A205" s="50"/>
      <c r="B205" s="21"/>
      <c r="C205" s="21"/>
      <c r="D205" s="37"/>
      <c r="E205" s="37"/>
      <c r="P205" s="50"/>
    </row>
    <row r="206" ht="12.75" customHeight="1">
      <c r="A206" s="50"/>
      <c r="B206" s="21"/>
      <c r="C206" s="21"/>
      <c r="D206" s="37"/>
      <c r="E206" s="37"/>
      <c r="P206" s="50"/>
    </row>
    <row r="207" ht="12.75" customHeight="1">
      <c r="A207" s="50"/>
      <c r="B207" s="21"/>
      <c r="C207" s="21"/>
      <c r="D207" s="37"/>
      <c r="E207" s="37"/>
      <c r="P207" s="50"/>
    </row>
    <row r="208" ht="12.75" customHeight="1">
      <c r="A208" s="50"/>
      <c r="B208" s="21"/>
      <c r="C208" s="21"/>
      <c r="D208" s="37"/>
      <c r="E208" s="37"/>
      <c r="P208" s="50"/>
    </row>
    <row r="209" ht="12.75" customHeight="1">
      <c r="A209" s="50"/>
      <c r="B209" s="21"/>
      <c r="C209" s="21"/>
      <c r="D209" s="37"/>
      <c r="E209" s="37"/>
      <c r="P209" s="50"/>
    </row>
    <row r="210" ht="12.75" customHeight="1">
      <c r="A210" s="50"/>
      <c r="B210" s="21"/>
      <c r="C210" s="21"/>
      <c r="D210" s="37"/>
      <c r="E210" s="37"/>
      <c r="P210" s="50"/>
    </row>
    <row r="211" ht="12.75" customHeight="1">
      <c r="A211" s="50"/>
      <c r="B211" s="21"/>
      <c r="C211" s="21"/>
      <c r="D211" s="37"/>
      <c r="E211" s="37"/>
      <c r="P211" s="50"/>
    </row>
    <row r="212" ht="12.75" customHeight="1">
      <c r="A212" s="50"/>
      <c r="B212" s="21"/>
      <c r="C212" s="21"/>
      <c r="D212" s="37"/>
      <c r="E212" s="37"/>
      <c r="P212" s="50"/>
    </row>
    <row r="213" ht="12.75" customHeight="1">
      <c r="A213" s="50"/>
      <c r="B213" s="21"/>
      <c r="C213" s="21"/>
      <c r="D213" s="37"/>
      <c r="E213" s="37"/>
      <c r="P213" s="50"/>
    </row>
    <row r="214" ht="12.75" customHeight="1">
      <c r="A214" s="50"/>
      <c r="B214" s="21"/>
      <c r="C214" s="21"/>
      <c r="D214" s="37"/>
      <c r="E214" s="37"/>
      <c r="P214" s="50"/>
    </row>
    <row r="215" ht="12.75" customHeight="1">
      <c r="A215" s="50"/>
      <c r="B215" s="21"/>
      <c r="C215" s="21"/>
      <c r="D215" s="37"/>
      <c r="E215" s="37"/>
      <c r="P215" s="50"/>
    </row>
    <row r="216" ht="12.75" customHeight="1">
      <c r="A216" s="50"/>
      <c r="B216" s="21"/>
      <c r="C216" s="21"/>
      <c r="D216" s="37"/>
      <c r="E216" s="37"/>
      <c r="P216" s="50"/>
    </row>
    <row r="217" ht="12.75" customHeight="1">
      <c r="A217" s="50"/>
      <c r="B217" s="21"/>
      <c r="C217" s="21"/>
      <c r="D217" s="37"/>
      <c r="E217" s="37"/>
      <c r="P217" s="50"/>
    </row>
    <row r="218" ht="12.75" customHeight="1">
      <c r="A218" s="50"/>
      <c r="B218" s="21"/>
      <c r="C218" s="21"/>
      <c r="D218" s="37"/>
      <c r="E218" s="37"/>
      <c r="P218" s="50"/>
    </row>
    <row r="219" ht="12.75" customHeight="1">
      <c r="A219" s="50"/>
      <c r="B219" s="21"/>
      <c r="C219" s="21"/>
      <c r="D219" s="37"/>
      <c r="E219" s="37"/>
      <c r="P219" s="50"/>
    </row>
    <row r="220" ht="12.75" customHeight="1">
      <c r="A220" s="50"/>
      <c r="B220" s="21"/>
      <c r="C220" s="21"/>
      <c r="D220" s="37"/>
      <c r="E220" s="37"/>
      <c r="P220" s="50"/>
    </row>
    <row r="221" ht="12.75" customHeight="1">
      <c r="A221" s="50"/>
      <c r="B221" s="21"/>
      <c r="C221" s="21"/>
      <c r="D221" s="37"/>
      <c r="E221" s="37"/>
      <c r="P221" s="50"/>
    </row>
    <row r="222" ht="12.75" customHeight="1">
      <c r="A222" s="50"/>
      <c r="B222" s="21"/>
      <c r="C222" s="21"/>
      <c r="D222" s="37"/>
      <c r="E222" s="37"/>
      <c r="P222" s="50"/>
    </row>
    <row r="223" ht="12.75" customHeight="1">
      <c r="A223" s="50"/>
      <c r="B223" s="21"/>
      <c r="C223" s="21"/>
      <c r="D223" s="37"/>
      <c r="E223" s="37"/>
      <c r="P223" s="50"/>
    </row>
    <row r="224" ht="12.75" customHeight="1">
      <c r="A224" s="50"/>
      <c r="B224" s="21"/>
      <c r="C224" s="21"/>
      <c r="D224" s="37"/>
      <c r="E224" s="37"/>
      <c r="P224" s="50"/>
    </row>
    <row r="225" ht="12.75" customHeight="1">
      <c r="A225" s="50"/>
      <c r="B225" s="21"/>
      <c r="C225" s="21"/>
      <c r="D225" s="37"/>
      <c r="E225" s="37"/>
      <c r="P225" s="50"/>
    </row>
    <row r="226" ht="12.75" customHeight="1">
      <c r="A226" s="50"/>
      <c r="B226" s="21"/>
      <c r="C226" s="21"/>
      <c r="D226" s="37"/>
      <c r="E226" s="37"/>
      <c r="P226" s="50"/>
    </row>
    <row r="227" ht="12.75" customHeight="1">
      <c r="A227" s="50"/>
      <c r="B227" s="21"/>
      <c r="C227" s="21"/>
      <c r="D227" s="37"/>
      <c r="E227" s="37"/>
      <c r="P227" s="50"/>
    </row>
    <row r="228" ht="12.75" customHeight="1">
      <c r="A228" s="50"/>
      <c r="B228" s="21"/>
      <c r="C228" s="21"/>
      <c r="D228" s="37"/>
      <c r="E228" s="37"/>
      <c r="P228" s="50"/>
    </row>
    <row r="229" ht="12.75" customHeight="1">
      <c r="A229" s="50"/>
      <c r="B229" s="21"/>
      <c r="C229" s="21"/>
      <c r="D229" s="37"/>
      <c r="E229" s="37"/>
      <c r="P229" s="50"/>
    </row>
    <row r="230" ht="12.75" customHeight="1">
      <c r="A230" s="50"/>
      <c r="B230" s="21"/>
      <c r="C230" s="21"/>
      <c r="D230" s="37"/>
      <c r="E230" s="37"/>
      <c r="P230" s="50"/>
    </row>
    <row r="231" ht="12.75" customHeight="1">
      <c r="A231" s="50"/>
      <c r="B231" s="21"/>
      <c r="C231" s="21"/>
      <c r="D231" s="37"/>
      <c r="E231" s="37"/>
      <c r="P231" s="50"/>
    </row>
    <row r="232" ht="12.75" customHeight="1">
      <c r="A232" s="50"/>
      <c r="B232" s="21"/>
      <c r="C232" s="21"/>
      <c r="D232" s="37"/>
      <c r="E232" s="37"/>
      <c r="P232" s="50"/>
    </row>
    <row r="233" ht="12.75" customHeight="1">
      <c r="A233" s="50"/>
      <c r="B233" s="21"/>
      <c r="C233" s="21"/>
      <c r="D233" s="37"/>
      <c r="E233" s="37"/>
      <c r="P233" s="50"/>
    </row>
    <row r="234" ht="12.75" customHeight="1">
      <c r="A234" s="50"/>
      <c r="B234" s="21"/>
      <c r="C234" s="21"/>
      <c r="D234" s="37"/>
      <c r="E234" s="37"/>
      <c r="P234" s="50"/>
    </row>
    <row r="235" ht="12.75" customHeight="1">
      <c r="A235" s="50"/>
      <c r="B235" s="21"/>
      <c r="C235" s="21"/>
      <c r="D235" s="37"/>
      <c r="E235" s="37"/>
      <c r="P235" s="50"/>
    </row>
    <row r="236" ht="12.75" customHeight="1">
      <c r="A236" s="50"/>
      <c r="B236" s="21"/>
      <c r="C236" s="21"/>
      <c r="D236" s="37"/>
      <c r="E236" s="37"/>
      <c r="P236" s="50"/>
    </row>
    <row r="237" ht="12.75" customHeight="1">
      <c r="A237" s="50"/>
      <c r="B237" s="21"/>
      <c r="C237" s="21"/>
      <c r="D237" s="37"/>
      <c r="E237" s="37"/>
      <c r="P237" s="50"/>
    </row>
    <row r="238" ht="12.75" customHeight="1">
      <c r="A238" s="50"/>
      <c r="B238" s="21"/>
      <c r="C238" s="21"/>
      <c r="D238" s="37"/>
      <c r="E238" s="37"/>
      <c r="P238" s="50"/>
    </row>
    <row r="239" ht="12.75" customHeight="1">
      <c r="A239" s="50"/>
      <c r="B239" s="21"/>
      <c r="C239" s="21"/>
      <c r="D239" s="37"/>
      <c r="E239" s="37"/>
      <c r="P239" s="50"/>
    </row>
    <row r="240" ht="12.75" customHeight="1">
      <c r="A240" s="50"/>
      <c r="B240" s="21"/>
      <c r="C240" s="21"/>
      <c r="D240" s="37"/>
      <c r="E240" s="37"/>
      <c r="P240" s="50"/>
    </row>
    <row r="241" ht="12.75" customHeight="1">
      <c r="A241" s="50"/>
      <c r="B241" s="21"/>
      <c r="C241" s="21"/>
      <c r="D241" s="37"/>
      <c r="E241" s="37"/>
      <c r="P241" s="50"/>
    </row>
    <row r="242" ht="12.75" customHeight="1">
      <c r="A242" s="50"/>
      <c r="B242" s="21"/>
      <c r="C242" s="21"/>
      <c r="D242" s="37"/>
      <c r="E242" s="37"/>
      <c r="P242" s="50"/>
    </row>
    <row r="243" ht="12.75" customHeight="1">
      <c r="A243" s="50"/>
      <c r="B243" s="21"/>
      <c r="C243" s="21"/>
      <c r="D243" s="37"/>
      <c r="E243" s="37"/>
      <c r="P243" s="50"/>
    </row>
    <row r="244" ht="12.75" customHeight="1">
      <c r="A244" s="50"/>
      <c r="B244" s="21"/>
      <c r="C244" s="21"/>
      <c r="D244" s="37"/>
      <c r="E244" s="37"/>
      <c r="P244" s="50"/>
    </row>
    <row r="245" ht="12.75" customHeight="1">
      <c r="A245" s="50"/>
      <c r="B245" s="21"/>
      <c r="C245" s="21"/>
      <c r="D245" s="37"/>
      <c r="E245" s="37"/>
      <c r="P245" s="50"/>
    </row>
    <row r="246" ht="12.75" customHeight="1">
      <c r="A246" s="50"/>
      <c r="B246" s="21"/>
      <c r="C246" s="21"/>
      <c r="D246" s="37"/>
      <c r="E246" s="37"/>
      <c r="P246" s="50"/>
    </row>
    <row r="247" ht="12.75" customHeight="1">
      <c r="A247" s="50"/>
      <c r="B247" s="21"/>
      <c r="C247" s="21"/>
      <c r="D247" s="37"/>
      <c r="E247" s="37"/>
      <c r="P247" s="50"/>
    </row>
    <row r="248" ht="12.75" customHeight="1">
      <c r="A248" s="50"/>
      <c r="B248" s="21"/>
      <c r="C248" s="21"/>
      <c r="D248" s="37"/>
      <c r="E248" s="37"/>
      <c r="P248" s="50"/>
    </row>
    <row r="249" ht="12.75" customHeight="1">
      <c r="A249" s="50"/>
      <c r="B249" s="21"/>
      <c r="C249" s="21"/>
      <c r="D249" s="37"/>
      <c r="E249" s="37"/>
      <c r="P249" s="50"/>
    </row>
    <row r="250" ht="12.75" customHeight="1">
      <c r="A250" s="50"/>
      <c r="B250" s="21"/>
      <c r="C250" s="21"/>
      <c r="D250" s="37"/>
      <c r="E250" s="37"/>
      <c r="P250" s="50"/>
    </row>
    <row r="251" ht="12.75" customHeight="1">
      <c r="A251" s="50"/>
      <c r="B251" s="21"/>
      <c r="C251" s="21"/>
      <c r="D251" s="37"/>
      <c r="E251" s="37"/>
      <c r="P251" s="50"/>
    </row>
    <row r="252" ht="12.75" customHeight="1">
      <c r="A252" s="50"/>
      <c r="B252" s="21"/>
      <c r="C252" s="21"/>
      <c r="D252" s="37"/>
      <c r="E252" s="37"/>
      <c r="P252" s="50"/>
    </row>
    <row r="253" ht="12.75" customHeight="1">
      <c r="A253" s="50"/>
      <c r="B253" s="21"/>
      <c r="C253" s="21"/>
      <c r="D253" s="37"/>
      <c r="E253" s="37"/>
      <c r="P253" s="50"/>
    </row>
    <row r="254" ht="12.75" customHeight="1">
      <c r="A254" s="50"/>
      <c r="B254" s="21"/>
      <c r="C254" s="21"/>
      <c r="D254" s="37"/>
      <c r="E254" s="37"/>
      <c r="P254" s="50"/>
    </row>
    <row r="255" ht="12.75" customHeight="1">
      <c r="A255" s="50"/>
      <c r="B255" s="21"/>
      <c r="C255" s="21"/>
      <c r="D255" s="37"/>
      <c r="E255" s="37"/>
      <c r="P255" s="50"/>
    </row>
    <row r="256" ht="12.75" customHeight="1">
      <c r="A256" s="50"/>
      <c r="B256" s="21"/>
      <c r="C256" s="21"/>
      <c r="D256" s="37"/>
      <c r="E256" s="37"/>
      <c r="P256" s="50"/>
    </row>
    <row r="257" ht="12.75" customHeight="1">
      <c r="A257" s="50"/>
      <c r="B257" s="21"/>
      <c r="C257" s="21"/>
      <c r="D257" s="37"/>
      <c r="E257" s="37"/>
      <c r="P257" s="50"/>
    </row>
    <row r="258" ht="12.75" customHeight="1">
      <c r="A258" s="50"/>
      <c r="B258" s="21"/>
      <c r="C258" s="21"/>
      <c r="D258" s="37"/>
      <c r="E258" s="37"/>
      <c r="P258" s="50"/>
    </row>
    <row r="259" ht="12.75" customHeight="1">
      <c r="A259" s="50"/>
      <c r="B259" s="21"/>
      <c r="C259" s="21"/>
      <c r="D259" s="37"/>
      <c r="E259" s="37"/>
      <c r="P259" s="50"/>
    </row>
    <row r="260" ht="12.75" customHeight="1">
      <c r="A260" s="50"/>
      <c r="B260" s="21"/>
      <c r="C260" s="21"/>
      <c r="D260" s="37"/>
      <c r="E260" s="37"/>
      <c r="P260" s="50"/>
    </row>
    <row r="261" ht="12.75" customHeight="1">
      <c r="A261" s="50"/>
      <c r="B261" s="21"/>
      <c r="C261" s="21"/>
      <c r="D261" s="37"/>
      <c r="E261" s="37"/>
      <c r="P261" s="50"/>
    </row>
    <row r="262" ht="12.75" customHeight="1">
      <c r="A262" s="50"/>
      <c r="B262" s="21"/>
      <c r="C262" s="21"/>
      <c r="D262" s="37"/>
      <c r="E262" s="37"/>
      <c r="P262" s="50"/>
    </row>
    <row r="263" ht="12.75" customHeight="1">
      <c r="A263" s="50"/>
      <c r="B263" s="21"/>
      <c r="C263" s="21"/>
      <c r="D263" s="37"/>
      <c r="E263" s="37"/>
      <c r="P263" s="50"/>
    </row>
    <row r="264" ht="12.75" customHeight="1">
      <c r="A264" s="50"/>
      <c r="B264" s="21"/>
      <c r="C264" s="21"/>
      <c r="D264" s="37"/>
      <c r="E264" s="37"/>
      <c r="P264" s="50"/>
    </row>
    <row r="265" ht="12.75" customHeight="1">
      <c r="A265" s="50"/>
      <c r="B265" s="21"/>
      <c r="C265" s="21"/>
      <c r="D265" s="37"/>
      <c r="E265" s="37"/>
      <c r="P265" s="50"/>
    </row>
    <row r="266" ht="12.75" customHeight="1">
      <c r="A266" s="50"/>
      <c r="B266" s="21"/>
      <c r="C266" s="21"/>
      <c r="D266" s="37"/>
      <c r="E266" s="37"/>
      <c r="P266" s="50"/>
    </row>
    <row r="267" ht="12.75" customHeight="1">
      <c r="A267" s="50"/>
      <c r="B267" s="21"/>
      <c r="C267" s="21"/>
      <c r="D267" s="37"/>
      <c r="E267" s="37"/>
      <c r="P267" s="50"/>
    </row>
    <row r="268" ht="12.75" customHeight="1">
      <c r="A268" s="50"/>
      <c r="B268" s="21"/>
      <c r="C268" s="21"/>
      <c r="D268" s="37"/>
      <c r="E268" s="37"/>
      <c r="P268" s="50"/>
    </row>
    <row r="269" ht="12.75" customHeight="1">
      <c r="A269" s="50"/>
      <c r="B269" s="21"/>
      <c r="C269" s="21"/>
      <c r="D269" s="37"/>
      <c r="E269" s="37"/>
      <c r="P269" s="50"/>
    </row>
    <row r="270" ht="12.75" customHeight="1">
      <c r="A270" s="50"/>
      <c r="B270" s="21"/>
      <c r="C270" s="21"/>
      <c r="D270" s="37"/>
      <c r="E270" s="37"/>
      <c r="P270" s="50"/>
    </row>
    <row r="271" ht="12.75" customHeight="1">
      <c r="A271" s="50"/>
      <c r="B271" s="21"/>
      <c r="C271" s="21"/>
      <c r="D271" s="37"/>
      <c r="E271" s="37"/>
      <c r="P271" s="50"/>
    </row>
    <row r="272" ht="12.75" customHeight="1">
      <c r="A272" s="50"/>
      <c r="B272" s="21"/>
      <c r="C272" s="21"/>
      <c r="D272" s="37"/>
      <c r="E272" s="37"/>
      <c r="P272" s="50"/>
    </row>
    <row r="273" ht="12.75" customHeight="1">
      <c r="A273" s="50"/>
      <c r="B273" s="21"/>
      <c r="C273" s="21"/>
      <c r="D273" s="37"/>
      <c r="E273" s="37"/>
      <c r="P273" s="50"/>
    </row>
    <row r="274" ht="12.75" customHeight="1">
      <c r="A274" s="50"/>
      <c r="B274" s="21"/>
      <c r="C274" s="21"/>
      <c r="D274" s="37"/>
      <c r="E274" s="37"/>
      <c r="P274" s="50"/>
    </row>
    <row r="275" ht="12.75" customHeight="1">
      <c r="A275" s="50"/>
      <c r="B275" s="21"/>
      <c r="C275" s="21"/>
      <c r="D275" s="37"/>
      <c r="E275" s="37"/>
      <c r="P275" s="50"/>
    </row>
    <row r="276" ht="12.75" customHeight="1">
      <c r="A276" s="50"/>
      <c r="B276" s="21"/>
      <c r="C276" s="21"/>
      <c r="D276" s="37"/>
      <c r="E276" s="37"/>
      <c r="P276" s="50"/>
    </row>
    <row r="277" ht="12.75" customHeight="1">
      <c r="A277" s="50"/>
      <c r="B277" s="21"/>
      <c r="C277" s="21"/>
      <c r="D277" s="37"/>
      <c r="E277" s="37"/>
      <c r="P277" s="50"/>
    </row>
    <row r="278" ht="12.75" customHeight="1">
      <c r="A278" s="50"/>
      <c r="B278" s="21"/>
      <c r="C278" s="21"/>
      <c r="D278" s="37"/>
      <c r="E278" s="37"/>
      <c r="P278" s="50"/>
    </row>
    <row r="279" ht="12.75" customHeight="1">
      <c r="A279" s="50"/>
      <c r="B279" s="21"/>
      <c r="C279" s="21"/>
      <c r="D279" s="37"/>
      <c r="E279" s="37"/>
      <c r="P279" s="50"/>
    </row>
    <row r="280" ht="12.75" customHeight="1">
      <c r="A280" s="50"/>
      <c r="B280" s="21"/>
      <c r="C280" s="21"/>
      <c r="D280" s="37"/>
      <c r="E280" s="37"/>
      <c r="P280" s="50"/>
    </row>
    <row r="281" ht="12.75" customHeight="1">
      <c r="A281" s="50"/>
      <c r="B281" s="21"/>
      <c r="C281" s="21"/>
      <c r="D281" s="37"/>
      <c r="E281" s="37"/>
      <c r="P281" s="50"/>
    </row>
    <row r="282" ht="12.75" customHeight="1">
      <c r="A282" s="50"/>
      <c r="B282" s="21"/>
      <c r="C282" s="21"/>
      <c r="D282" s="37"/>
      <c r="E282" s="37"/>
      <c r="P282" s="50"/>
    </row>
    <row r="283" ht="12.75" customHeight="1">
      <c r="A283" s="50"/>
      <c r="B283" s="21"/>
      <c r="C283" s="21"/>
      <c r="D283" s="37"/>
      <c r="E283" s="37"/>
      <c r="P283" s="50"/>
    </row>
    <row r="284" ht="12.75" customHeight="1">
      <c r="A284" s="50"/>
      <c r="B284" s="21"/>
      <c r="C284" s="21"/>
      <c r="D284" s="37"/>
      <c r="E284" s="37"/>
      <c r="P284" s="50"/>
    </row>
    <row r="285" ht="12.75" customHeight="1">
      <c r="A285" s="50"/>
      <c r="B285" s="21"/>
      <c r="C285" s="21"/>
      <c r="D285" s="37"/>
      <c r="E285" s="37"/>
      <c r="P285" s="50"/>
    </row>
    <row r="286" ht="12.75" customHeight="1">
      <c r="A286" s="50"/>
      <c r="B286" s="21"/>
      <c r="C286" s="21"/>
      <c r="D286" s="37"/>
      <c r="E286" s="37"/>
      <c r="P286" s="50"/>
    </row>
    <row r="287" ht="12.75" customHeight="1">
      <c r="A287" s="50"/>
      <c r="B287" s="21"/>
      <c r="C287" s="21"/>
      <c r="D287" s="37"/>
      <c r="E287" s="37"/>
      <c r="P287" s="50"/>
    </row>
    <row r="288" ht="12.75" customHeight="1">
      <c r="A288" s="50"/>
      <c r="B288" s="21"/>
      <c r="C288" s="21"/>
      <c r="D288" s="37"/>
      <c r="E288" s="37"/>
      <c r="P288" s="50"/>
    </row>
    <row r="289" ht="12.75" customHeight="1">
      <c r="A289" s="50"/>
      <c r="B289" s="21"/>
      <c r="C289" s="21"/>
      <c r="D289" s="37"/>
      <c r="E289" s="37"/>
      <c r="P289" s="50"/>
    </row>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K18:L18"/>
    <mergeCell ref="K19:L19"/>
    <mergeCell ref="K20:L20"/>
    <mergeCell ref="K21:L21"/>
    <mergeCell ref="K12:L12"/>
    <mergeCell ref="K13:L13"/>
    <mergeCell ref="H14:H21"/>
    <mergeCell ref="I14:I19"/>
    <mergeCell ref="K14:L14"/>
    <mergeCell ref="K15:L15"/>
    <mergeCell ref="F16:F19"/>
    <mergeCell ref="A16:A17"/>
    <mergeCell ref="A18:A19"/>
    <mergeCell ref="B18:B19"/>
    <mergeCell ref="C18:C19"/>
    <mergeCell ref="D18:D19"/>
    <mergeCell ref="E18:E19"/>
    <mergeCell ref="A23:D23"/>
    <mergeCell ref="A64:E64"/>
    <mergeCell ref="A70:E70"/>
    <mergeCell ref="A77:E77"/>
    <mergeCell ref="A84:E84"/>
    <mergeCell ref="A25:E25"/>
    <mergeCell ref="A26:E26"/>
    <mergeCell ref="A28:E28"/>
    <mergeCell ref="A36:E36"/>
    <mergeCell ref="A46:E46"/>
    <mergeCell ref="A56:E56"/>
    <mergeCell ref="A58:E58"/>
    <mergeCell ref="K4:M4"/>
    <mergeCell ref="N4:P4"/>
    <mergeCell ref="A2:F2"/>
    <mergeCell ref="H2:P2"/>
    <mergeCell ref="A3:F3"/>
    <mergeCell ref="K3:M3"/>
    <mergeCell ref="H4:H5"/>
    <mergeCell ref="I4:I5"/>
    <mergeCell ref="J4:J5"/>
    <mergeCell ref="K5:L5"/>
    <mergeCell ref="N5:O5"/>
    <mergeCell ref="H6:H13"/>
    <mergeCell ref="I6:I10"/>
    <mergeCell ref="K11:L11"/>
    <mergeCell ref="N11:O11"/>
    <mergeCell ref="N12:O12"/>
    <mergeCell ref="K16:L16"/>
    <mergeCell ref="K17:L17"/>
    <mergeCell ref="N13:O13"/>
    <mergeCell ref="N14:O14"/>
    <mergeCell ref="B16:B17"/>
    <mergeCell ref="C16:C17"/>
    <mergeCell ref="D16:D17"/>
    <mergeCell ref="E16:E17"/>
    <mergeCell ref="N17:O17"/>
    <mergeCell ref="H23:P23"/>
    <mergeCell ref="H24:P24"/>
    <mergeCell ref="N15:O15"/>
    <mergeCell ref="N16:O16"/>
    <mergeCell ref="N18:O18"/>
    <mergeCell ref="N19:O19"/>
    <mergeCell ref="N20:O20"/>
    <mergeCell ref="N21:O21"/>
    <mergeCell ref="H22:P2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71"/>
    <col customWidth="1" min="2" max="2" width="25.0"/>
    <col customWidth="1" min="3" max="3" width="14.86"/>
    <col customWidth="1" min="4" max="6" width="14.71"/>
    <col customWidth="1" min="7" max="7" width="16.14"/>
    <col customWidth="1" min="8" max="8" width="17.0"/>
    <col customWidth="1" min="9" max="10" width="14.71"/>
    <col customWidth="1" min="11" max="11" width="18.14"/>
    <col customWidth="1" min="12" max="12" width="20.29"/>
    <col customWidth="1" min="13" max="14" width="14.71"/>
    <col customWidth="1" min="15" max="15" width="7.43"/>
    <col customWidth="1" min="16" max="16" width="29.43"/>
    <col customWidth="1" min="17" max="17" width="15.14"/>
    <col customWidth="1" min="18" max="18" width="16.71"/>
    <col customWidth="1" min="19" max="20" width="8.0"/>
    <col customWidth="1" min="21" max="21" width="7.57"/>
    <col customWidth="1" min="22" max="22" width="6.86"/>
    <col customWidth="1" min="23" max="23" width="13.57"/>
    <col customWidth="1" min="24" max="27" width="8.0"/>
    <col customWidth="1" min="28" max="28" width="10.14"/>
    <col customWidth="1" min="29" max="29" width="10.71"/>
    <col customWidth="1" min="30" max="30" width="11.0"/>
    <col customWidth="1" min="31" max="38" width="8.0"/>
  </cols>
  <sheetData>
    <row r="1" ht="12.75" customHeight="1">
      <c r="A1" s="132"/>
      <c r="B1" s="133"/>
      <c r="C1" s="133"/>
      <c r="D1" s="133"/>
      <c r="E1" s="133"/>
      <c r="F1" s="133"/>
      <c r="G1" s="134"/>
      <c r="H1" s="135"/>
      <c r="I1" s="136"/>
      <c r="J1" s="137"/>
      <c r="K1" s="137"/>
      <c r="L1" s="137"/>
    </row>
    <row r="2" ht="12.75" customHeight="1">
      <c r="A2" s="138"/>
      <c r="B2" s="132"/>
      <c r="D2" s="139" t="s">
        <v>610</v>
      </c>
      <c r="G2" s="140"/>
      <c r="H2" s="141"/>
      <c r="I2" s="142"/>
      <c r="J2" s="137"/>
    </row>
    <row r="3" ht="12.75" customHeight="1">
      <c r="A3" s="138"/>
      <c r="G3" s="143" t="s">
        <v>611</v>
      </c>
      <c r="H3" s="144"/>
      <c r="I3" s="145"/>
      <c r="J3" s="137"/>
      <c r="K3" s="137"/>
      <c r="L3" s="137"/>
    </row>
    <row r="4" ht="12.75" customHeight="1">
      <c r="A4" s="138"/>
      <c r="G4" s="143" t="s">
        <v>612</v>
      </c>
      <c r="H4" s="144"/>
      <c r="I4" s="145"/>
      <c r="J4" s="137"/>
      <c r="K4" s="137"/>
      <c r="L4" s="137"/>
    </row>
    <row r="5" ht="12.75" customHeight="1">
      <c r="A5" s="138"/>
      <c r="G5" s="143" t="s">
        <v>613</v>
      </c>
      <c r="H5" s="144"/>
      <c r="I5" s="145"/>
      <c r="J5" s="137"/>
      <c r="K5" s="137"/>
      <c r="L5" s="137"/>
    </row>
    <row r="6" ht="12.75" customHeight="1">
      <c r="A6" s="138"/>
      <c r="G6" s="143" t="s">
        <v>614</v>
      </c>
      <c r="H6" s="144"/>
      <c r="I6" s="145"/>
      <c r="J6" s="137"/>
      <c r="K6" s="137"/>
      <c r="L6" s="137"/>
    </row>
    <row r="7" ht="12.75" customHeight="1">
      <c r="A7" s="138"/>
      <c r="B7" s="146"/>
      <c r="C7" s="146"/>
      <c r="D7" s="146"/>
      <c r="E7" s="146"/>
      <c r="F7" s="146"/>
      <c r="G7" s="147"/>
      <c r="H7" s="148"/>
      <c r="I7" s="149"/>
      <c r="J7" s="137"/>
      <c r="K7" s="137"/>
      <c r="L7" s="137"/>
    </row>
    <row r="8" ht="12.75" customHeight="1">
      <c r="G8" s="37"/>
      <c r="H8" s="150"/>
      <c r="I8" s="137"/>
      <c r="J8" s="137"/>
      <c r="K8" s="137"/>
      <c r="L8" s="137"/>
      <c r="M8" s="137"/>
      <c r="N8" s="137"/>
    </row>
    <row r="9" ht="12.75" customHeight="1">
      <c r="G9" s="37"/>
      <c r="H9" s="150"/>
      <c r="I9" s="137"/>
      <c r="J9" s="137"/>
      <c r="K9" s="137"/>
      <c r="L9" s="137"/>
      <c r="M9" s="137"/>
      <c r="N9" s="137"/>
    </row>
    <row r="10" ht="12.75" customHeight="1">
      <c r="G10" s="37"/>
      <c r="H10" s="150"/>
      <c r="I10" s="137"/>
      <c r="J10" s="137"/>
      <c r="K10" s="137"/>
      <c r="L10" s="137"/>
      <c r="M10" s="137"/>
      <c r="N10" s="137"/>
    </row>
    <row r="11" ht="12.75" customHeight="1">
      <c r="G11" s="37"/>
      <c r="H11" s="150"/>
      <c r="I11" s="137"/>
      <c r="J11" s="137"/>
      <c r="K11" s="137"/>
      <c r="L11" s="137"/>
      <c r="M11" s="137"/>
      <c r="N11" s="137"/>
    </row>
    <row r="12" ht="12.75" customHeight="1">
      <c r="G12" s="37"/>
      <c r="H12" s="150"/>
      <c r="I12" s="137"/>
      <c r="J12" s="137"/>
      <c r="K12" s="137"/>
      <c r="L12" s="137"/>
      <c r="M12" s="137"/>
      <c r="N12" s="137"/>
    </row>
    <row r="13" ht="12.75" customHeight="1">
      <c r="G13" s="37"/>
      <c r="H13" s="150"/>
      <c r="I13" s="137"/>
      <c r="J13" s="137"/>
      <c r="K13" s="137"/>
      <c r="L13" s="137"/>
      <c r="M13" s="137"/>
      <c r="N13" s="137"/>
    </row>
    <row r="14" ht="12.75" customHeight="1">
      <c r="G14" s="37"/>
      <c r="H14" s="150"/>
      <c r="I14" s="137"/>
      <c r="J14" s="137"/>
      <c r="K14" s="137"/>
      <c r="L14" s="137"/>
      <c r="M14" s="137"/>
      <c r="N14" s="137"/>
    </row>
    <row r="15" ht="12.75" customHeight="1">
      <c r="G15" s="37"/>
      <c r="H15" s="150"/>
      <c r="I15" s="137"/>
      <c r="J15" s="137"/>
      <c r="K15" s="137"/>
      <c r="L15" s="137"/>
      <c r="M15" s="137"/>
      <c r="N15" s="137"/>
    </row>
    <row r="16" ht="12.75" customHeight="1">
      <c r="G16" s="37"/>
      <c r="H16" s="150"/>
      <c r="I16" s="137"/>
      <c r="J16" s="137"/>
      <c r="K16" s="137"/>
      <c r="L16" s="137"/>
      <c r="M16" s="137"/>
      <c r="N16" s="137"/>
    </row>
    <row r="17" ht="12.75" customHeight="1">
      <c r="G17" s="37"/>
      <c r="H17" s="150"/>
      <c r="I17" s="137"/>
      <c r="J17" s="137"/>
      <c r="K17" s="137"/>
      <c r="L17" s="137"/>
      <c r="M17" s="137"/>
      <c r="N17" s="137"/>
    </row>
    <row r="18" ht="12.75" customHeight="1">
      <c r="G18" s="37"/>
      <c r="H18" s="150"/>
      <c r="I18" s="137"/>
      <c r="J18" s="137"/>
      <c r="K18" s="137"/>
      <c r="L18" s="137"/>
      <c r="M18" s="137"/>
      <c r="N18" s="137"/>
    </row>
    <row r="19">
      <c r="A19" s="151" t="s">
        <v>615</v>
      </c>
      <c r="B19" s="2"/>
      <c r="C19" s="3"/>
      <c r="D19" s="152"/>
      <c r="E19" s="152"/>
      <c r="G19" s="37"/>
      <c r="H19" s="150"/>
      <c r="I19" s="137"/>
      <c r="J19" s="137"/>
      <c r="K19" s="137"/>
      <c r="L19" s="137"/>
      <c r="M19" s="137"/>
      <c r="N19" s="137"/>
    </row>
    <row r="20" ht="12.75" customHeight="1">
      <c r="A20" s="153" t="s">
        <v>616</v>
      </c>
      <c r="B20" s="3"/>
      <c r="C20" s="154" t="s">
        <v>617</v>
      </c>
      <c r="G20" s="37"/>
      <c r="H20" s="150"/>
      <c r="I20" s="137"/>
      <c r="J20" s="137"/>
      <c r="K20" s="137"/>
      <c r="L20" s="137"/>
      <c r="M20" s="137"/>
      <c r="N20" s="137"/>
    </row>
    <row r="21" ht="12.75" customHeight="1">
      <c r="A21" s="153" t="s">
        <v>618</v>
      </c>
      <c r="B21" s="3"/>
      <c r="C21" s="154" t="s">
        <v>619</v>
      </c>
      <c r="G21" s="37"/>
      <c r="H21" s="150"/>
      <c r="I21" s="137"/>
      <c r="J21" s="137"/>
      <c r="K21" s="137"/>
      <c r="L21" s="137"/>
      <c r="M21" s="137"/>
      <c r="N21" s="137"/>
    </row>
    <row r="22" ht="12.75" customHeight="1">
      <c r="G22" s="37"/>
      <c r="H22" s="150"/>
      <c r="I22" s="137"/>
      <c r="J22" s="137"/>
      <c r="K22" s="137"/>
      <c r="L22" s="137"/>
      <c r="M22" s="137"/>
      <c r="N22" s="137"/>
    </row>
    <row r="23" ht="21.75" hidden="1" customHeight="1">
      <c r="A23" s="155" t="s">
        <v>620</v>
      </c>
      <c r="B23" s="8"/>
      <c r="C23" s="8"/>
      <c r="D23" s="8"/>
      <c r="E23" s="8"/>
      <c r="F23" s="8"/>
      <c r="G23" s="8"/>
      <c r="H23" s="9"/>
      <c r="I23" s="156"/>
      <c r="J23" s="156"/>
      <c r="K23" s="156"/>
      <c r="L23" s="156"/>
      <c r="M23" s="156"/>
      <c r="N23" s="156"/>
      <c r="O23" s="116"/>
      <c r="P23" s="157" t="s">
        <v>621</v>
      </c>
      <c r="Q23" s="113"/>
      <c r="R23" s="113"/>
      <c r="S23" s="113"/>
      <c r="T23" s="113"/>
      <c r="U23" s="113"/>
      <c r="V23" s="113"/>
      <c r="W23" s="113"/>
      <c r="X23" s="113"/>
      <c r="Y23" s="113"/>
      <c r="Z23" s="113"/>
      <c r="AA23" s="113"/>
      <c r="AB23" s="113"/>
      <c r="AC23" s="113"/>
      <c r="AD23" s="114"/>
      <c r="AE23" s="116"/>
      <c r="AF23" s="116"/>
      <c r="AG23" s="116"/>
      <c r="AH23" s="116"/>
      <c r="AI23" s="116"/>
      <c r="AJ23" s="116"/>
      <c r="AK23" s="116"/>
      <c r="AL23" s="116"/>
    </row>
    <row r="24" ht="15.75" hidden="1" customHeight="1">
      <c r="A24" s="62" t="s">
        <v>622</v>
      </c>
      <c r="B24" s="62" t="s">
        <v>623</v>
      </c>
      <c r="C24" s="62" t="s">
        <v>624</v>
      </c>
      <c r="D24" s="62" t="s">
        <v>625</v>
      </c>
      <c r="E24" s="158" t="s">
        <v>626</v>
      </c>
      <c r="F24" s="3"/>
      <c r="G24" s="159" t="s">
        <v>627</v>
      </c>
      <c r="H24" s="160" t="s">
        <v>628</v>
      </c>
      <c r="I24" s="156"/>
      <c r="J24" s="156"/>
      <c r="K24" s="156"/>
      <c r="L24" s="156"/>
      <c r="M24" s="156"/>
      <c r="N24" s="156"/>
      <c r="O24" s="116"/>
      <c r="P24" s="161"/>
      <c r="Q24" s="161"/>
      <c r="R24" s="161"/>
      <c r="S24" s="162"/>
      <c r="T24" s="103"/>
      <c r="U24" s="162"/>
      <c r="V24" s="103"/>
      <c r="W24" s="161"/>
      <c r="X24" s="162"/>
      <c r="Y24" s="103"/>
      <c r="Z24" s="162"/>
      <c r="AA24" s="103"/>
      <c r="AB24" s="162"/>
      <c r="AC24" s="103"/>
      <c r="AD24" s="161"/>
      <c r="AE24" s="116"/>
      <c r="AF24" s="116"/>
      <c r="AG24" s="116"/>
      <c r="AH24" s="116"/>
      <c r="AI24" s="116"/>
      <c r="AJ24" s="116"/>
      <c r="AK24" s="116"/>
      <c r="AL24" s="116"/>
    </row>
    <row r="25" ht="15.75" hidden="1" customHeight="1">
      <c r="A25" s="79"/>
      <c r="B25" s="79"/>
      <c r="C25" s="79"/>
      <c r="D25" s="79"/>
      <c r="E25" s="62" t="s">
        <v>629</v>
      </c>
      <c r="F25" s="62" t="s">
        <v>630</v>
      </c>
      <c r="G25" s="62" t="s">
        <v>631</v>
      </c>
      <c r="H25" s="163" t="s">
        <v>632</v>
      </c>
      <c r="I25" s="156"/>
      <c r="J25" s="156"/>
      <c r="K25" s="156"/>
      <c r="L25" s="156"/>
      <c r="M25" s="156"/>
      <c r="N25" s="156"/>
      <c r="O25" s="116"/>
      <c r="P25" s="79"/>
      <c r="Q25" s="79"/>
      <c r="R25" s="79"/>
      <c r="S25" s="164"/>
      <c r="T25" s="107"/>
      <c r="U25" s="164"/>
      <c r="V25" s="107"/>
      <c r="W25" s="79"/>
      <c r="X25" s="164"/>
      <c r="Y25" s="107"/>
      <c r="Z25" s="164"/>
      <c r="AA25" s="107"/>
      <c r="AB25" s="164"/>
      <c r="AC25" s="107"/>
      <c r="AD25" s="79"/>
      <c r="AE25" s="116"/>
      <c r="AF25" s="116"/>
      <c r="AG25" s="116"/>
      <c r="AH25" s="116"/>
      <c r="AI25" s="116"/>
      <c r="AJ25" s="116"/>
      <c r="AK25" s="116"/>
      <c r="AL25" s="116"/>
    </row>
    <row r="26" ht="15.75" hidden="1" customHeight="1">
      <c r="A26" s="79"/>
      <c r="B26" s="79"/>
      <c r="C26" s="79"/>
      <c r="D26" s="79"/>
      <c r="E26" s="79"/>
      <c r="F26" s="79"/>
      <c r="G26" s="79"/>
      <c r="H26" s="79"/>
      <c r="I26" s="156"/>
      <c r="J26" s="156"/>
      <c r="K26" s="156"/>
      <c r="L26" s="156"/>
      <c r="M26" s="156"/>
      <c r="N26" s="156"/>
      <c r="O26" s="116"/>
      <c r="P26" s="79"/>
      <c r="Q26" s="79"/>
      <c r="R26" s="79"/>
      <c r="S26" s="165"/>
      <c r="T26" s="109"/>
      <c r="U26" s="165"/>
      <c r="V26" s="109"/>
      <c r="W26" s="68"/>
      <c r="X26" s="165"/>
      <c r="Y26" s="109"/>
      <c r="Z26" s="165"/>
      <c r="AA26" s="109"/>
      <c r="AB26" s="165"/>
      <c r="AC26" s="109"/>
      <c r="AD26" s="79"/>
      <c r="AE26" s="116"/>
      <c r="AF26" s="116"/>
      <c r="AG26" s="116"/>
      <c r="AH26" s="116"/>
      <c r="AI26" s="116"/>
      <c r="AJ26" s="116"/>
      <c r="AK26" s="116"/>
      <c r="AL26" s="116"/>
    </row>
    <row r="27" ht="15.75" hidden="1" customHeight="1">
      <c r="A27" s="79"/>
      <c r="B27" s="79"/>
      <c r="C27" s="79"/>
      <c r="D27" s="79"/>
      <c r="E27" s="79"/>
      <c r="F27" s="79"/>
      <c r="G27" s="79"/>
      <c r="H27" s="79"/>
      <c r="I27" s="156"/>
      <c r="J27" s="156"/>
      <c r="K27" s="156"/>
      <c r="L27" s="156"/>
      <c r="M27" s="156"/>
      <c r="N27" s="156"/>
      <c r="O27" s="116"/>
      <c r="P27" s="68"/>
      <c r="Q27" s="68"/>
      <c r="R27" s="68"/>
      <c r="S27" s="166" t="s">
        <v>633</v>
      </c>
      <c r="T27" s="166" t="s">
        <v>634</v>
      </c>
      <c r="U27" s="166" t="s">
        <v>635</v>
      </c>
      <c r="V27" s="166" t="s">
        <v>636</v>
      </c>
      <c r="W27" s="166" t="s">
        <v>637</v>
      </c>
      <c r="X27" s="166" t="s">
        <v>635</v>
      </c>
      <c r="Y27" s="166" t="s">
        <v>638</v>
      </c>
      <c r="Z27" s="166" t="s">
        <v>639</v>
      </c>
      <c r="AA27" s="166" t="s">
        <v>640</v>
      </c>
      <c r="AB27" s="166" t="s">
        <v>641</v>
      </c>
      <c r="AC27" s="166" t="s">
        <v>642</v>
      </c>
      <c r="AD27" s="68"/>
      <c r="AE27" s="116"/>
      <c r="AF27" s="116"/>
      <c r="AG27" s="116"/>
      <c r="AH27" s="116"/>
      <c r="AI27" s="116"/>
      <c r="AJ27" s="116"/>
      <c r="AK27" s="116"/>
      <c r="AL27" s="116"/>
    </row>
    <row r="28" ht="15.75" hidden="1" customHeight="1">
      <c r="A28" s="79"/>
      <c r="B28" s="68"/>
      <c r="C28" s="68"/>
      <c r="D28" s="68"/>
      <c r="E28" s="68"/>
      <c r="F28" s="68"/>
      <c r="G28" s="68"/>
      <c r="H28" s="68"/>
      <c r="I28" s="167"/>
      <c r="J28" s="167"/>
      <c r="K28" s="167"/>
      <c r="L28" s="167"/>
      <c r="M28" s="167"/>
      <c r="N28" s="167"/>
      <c r="O28" s="41"/>
      <c r="P28" s="92" t="s">
        <v>643</v>
      </c>
      <c r="Q28" s="92" t="s">
        <v>644</v>
      </c>
      <c r="R28" s="86" t="s">
        <v>645</v>
      </c>
      <c r="S28" s="86">
        <v>19.5</v>
      </c>
      <c r="T28" s="86">
        <v>125.0</v>
      </c>
      <c r="U28" s="168">
        <v>0.0</v>
      </c>
      <c r="V28" s="103"/>
      <c r="W28" s="92" t="s">
        <v>433</v>
      </c>
      <c r="X28" s="86">
        <v>25.0</v>
      </c>
      <c r="Y28" s="86">
        <v>3.5</v>
      </c>
      <c r="Z28" s="86">
        <v>28.0</v>
      </c>
      <c r="AA28" s="86">
        <v>3920.0</v>
      </c>
      <c r="AB28" s="86" t="s">
        <v>646</v>
      </c>
      <c r="AC28" s="86" t="s">
        <v>646</v>
      </c>
      <c r="AD28" s="92">
        <v>0.5</v>
      </c>
      <c r="AE28" s="31"/>
      <c r="AF28" s="31"/>
      <c r="AG28" s="31"/>
      <c r="AH28" s="31"/>
      <c r="AI28" s="31"/>
      <c r="AJ28" s="31"/>
      <c r="AK28" s="31"/>
      <c r="AL28" s="31"/>
    </row>
    <row r="29" ht="15.75" hidden="1" customHeight="1">
      <c r="A29" s="79"/>
      <c r="B29" s="169" t="s">
        <v>459</v>
      </c>
      <c r="C29" s="169" t="s">
        <v>459</v>
      </c>
      <c r="D29" s="169" t="s">
        <v>647</v>
      </c>
      <c r="E29" s="169" t="s">
        <v>517</v>
      </c>
      <c r="F29" s="169" t="s">
        <v>648</v>
      </c>
      <c r="G29" s="169" t="s">
        <v>648</v>
      </c>
      <c r="H29" s="169" t="s">
        <v>648</v>
      </c>
      <c r="I29" s="167"/>
      <c r="J29" s="167"/>
      <c r="K29" s="167"/>
      <c r="L29" s="167"/>
      <c r="M29" s="167"/>
      <c r="N29" s="167"/>
      <c r="O29" s="41"/>
      <c r="P29" s="79"/>
      <c r="Q29" s="79"/>
      <c r="R29" s="86" t="s">
        <v>649</v>
      </c>
      <c r="S29" s="86">
        <v>20.5</v>
      </c>
      <c r="T29" s="86">
        <v>130.0</v>
      </c>
      <c r="U29" s="164"/>
      <c r="V29" s="107"/>
      <c r="W29" s="79"/>
      <c r="X29" s="86">
        <v>50.0</v>
      </c>
      <c r="Y29" s="86">
        <v>7.0</v>
      </c>
      <c r="Z29" s="86">
        <v>44.0</v>
      </c>
      <c r="AA29" s="86">
        <v>6160.0</v>
      </c>
      <c r="AB29" s="86" t="s">
        <v>646</v>
      </c>
      <c r="AC29" s="86" t="s">
        <v>646</v>
      </c>
      <c r="AD29" s="79"/>
      <c r="AE29" s="31"/>
      <c r="AF29" s="31"/>
      <c r="AG29" s="31"/>
      <c r="AH29" s="31"/>
      <c r="AI29" s="31"/>
      <c r="AJ29" s="31"/>
      <c r="AK29" s="31"/>
      <c r="AL29" s="31"/>
    </row>
    <row r="30" ht="15.75" hidden="1" customHeight="1">
      <c r="A30" s="68"/>
      <c r="B30" s="68"/>
      <c r="C30" s="68"/>
      <c r="D30" s="68"/>
      <c r="E30" s="68"/>
      <c r="F30" s="68"/>
      <c r="G30" s="68"/>
      <c r="H30" s="68"/>
      <c r="I30" s="167"/>
      <c r="J30" s="167"/>
      <c r="K30" s="167"/>
      <c r="L30" s="167"/>
      <c r="M30" s="167"/>
      <c r="N30" s="167"/>
      <c r="P30" s="68"/>
      <c r="Q30" s="68"/>
      <c r="R30" s="86" t="s">
        <v>650</v>
      </c>
      <c r="S30" s="86">
        <v>21.5</v>
      </c>
      <c r="T30" s="86">
        <v>135.0</v>
      </c>
      <c r="U30" s="165"/>
      <c r="V30" s="109"/>
      <c r="W30" s="68"/>
      <c r="X30" s="86">
        <v>100.0</v>
      </c>
      <c r="Y30" s="86">
        <v>14.0</v>
      </c>
      <c r="Z30" s="86">
        <v>60.0</v>
      </c>
      <c r="AA30" s="86">
        <v>8400.0</v>
      </c>
      <c r="AB30" s="86" t="s">
        <v>646</v>
      </c>
      <c r="AC30" s="86" t="s">
        <v>646</v>
      </c>
      <c r="AD30" s="68"/>
      <c r="AE30" s="31"/>
      <c r="AF30" s="31"/>
      <c r="AG30" s="31"/>
      <c r="AH30" s="31"/>
      <c r="AI30" s="31"/>
      <c r="AJ30" s="31"/>
      <c r="AK30" s="31"/>
      <c r="AL30" s="31"/>
    </row>
    <row r="31" ht="15.75" hidden="1" customHeight="1">
      <c r="A31" s="170">
        <v>1.0</v>
      </c>
      <c r="B31" s="170">
        <v>0.0</v>
      </c>
      <c r="C31" s="171">
        <v>24.0</v>
      </c>
      <c r="D31" s="67">
        <f>VLOOKUP(C20,R50:S63,2,0)</f>
        <v>135</v>
      </c>
      <c r="E31" s="172">
        <f>VLOOKUP(C20,R50:U63,4,0)</f>
        <v>35</v>
      </c>
      <c r="F31" s="173">
        <f>VLOOKUP(C20,R50:T63,3,0)</f>
        <v>0</v>
      </c>
      <c r="G31" s="174"/>
      <c r="H31" s="175"/>
      <c r="I31" s="137"/>
      <c r="J31" s="137"/>
      <c r="K31" s="137"/>
      <c r="L31" s="137"/>
      <c r="M31" s="137"/>
      <c r="N31" s="137"/>
      <c r="P31" s="92" t="s">
        <v>651</v>
      </c>
      <c r="Q31" s="92" t="s">
        <v>652</v>
      </c>
      <c r="R31" s="86" t="s">
        <v>645</v>
      </c>
      <c r="S31" s="86">
        <v>17.0</v>
      </c>
      <c r="T31" s="86">
        <v>110.0</v>
      </c>
      <c r="U31" s="168">
        <v>0.0</v>
      </c>
      <c r="V31" s="103"/>
      <c r="W31" s="92" t="s">
        <v>433</v>
      </c>
      <c r="X31" s="86">
        <v>25.0</v>
      </c>
      <c r="Y31" s="86">
        <v>3.5</v>
      </c>
      <c r="Z31" s="86">
        <v>12.0</v>
      </c>
      <c r="AA31" s="86">
        <v>1680.0</v>
      </c>
      <c r="AB31" s="86" t="s">
        <v>646</v>
      </c>
      <c r="AC31" s="86" t="s">
        <v>646</v>
      </c>
      <c r="AD31" s="92">
        <v>0.5</v>
      </c>
      <c r="AE31" s="31"/>
      <c r="AF31" s="31"/>
      <c r="AG31" s="31"/>
      <c r="AH31" s="31"/>
      <c r="AI31" s="31"/>
      <c r="AJ31" s="31"/>
      <c r="AK31" s="31"/>
      <c r="AL31" s="31"/>
    </row>
    <row r="32" ht="15.75" hidden="1" customHeight="1">
      <c r="A32" s="170">
        <v>2.0</v>
      </c>
      <c r="B32" s="95">
        <f>+C31</f>
        <v>24</v>
      </c>
      <c r="C32" s="171">
        <v>108.0</v>
      </c>
      <c r="D32" s="67">
        <f>VLOOKUP(C21,R50:S63,2,0)</f>
        <v>105</v>
      </c>
      <c r="E32" s="172">
        <f>VLOOKUP(C21,R50:U63,4,0)</f>
        <v>30</v>
      </c>
      <c r="F32" s="173">
        <f>VLOOKUP(C21,R50:T63,3,0)</f>
        <v>0</v>
      </c>
      <c r="G32" s="174"/>
      <c r="H32" s="175"/>
      <c r="I32" s="137"/>
      <c r="J32" s="137"/>
      <c r="K32" s="137"/>
      <c r="L32" s="137"/>
      <c r="M32" s="137"/>
      <c r="N32" s="137"/>
      <c r="P32" s="68"/>
      <c r="Q32" s="68"/>
      <c r="R32" s="86" t="s">
        <v>653</v>
      </c>
      <c r="S32" s="86">
        <v>18.0</v>
      </c>
      <c r="T32" s="86">
        <v>115.0</v>
      </c>
      <c r="U32" s="165"/>
      <c r="V32" s="109"/>
      <c r="W32" s="68"/>
      <c r="X32" s="86">
        <v>50.0</v>
      </c>
      <c r="Y32" s="86">
        <v>7.0</v>
      </c>
      <c r="Z32" s="86">
        <v>20.0</v>
      </c>
      <c r="AA32" s="86">
        <v>2800.0</v>
      </c>
      <c r="AB32" s="86" t="s">
        <v>646</v>
      </c>
      <c r="AC32" s="86" t="s">
        <v>646</v>
      </c>
      <c r="AD32" s="68"/>
      <c r="AE32" s="31"/>
      <c r="AF32" s="31"/>
      <c r="AG32" s="31"/>
      <c r="AH32" s="31"/>
      <c r="AI32" s="31"/>
      <c r="AJ32" s="31"/>
      <c r="AK32" s="31"/>
      <c r="AL32" s="31"/>
    </row>
    <row r="33" ht="18.0" hidden="1" customHeight="1">
      <c r="A33" s="176" t="s">
        <v>654</v>
      </c>
      <c r="B33" s="2"/>
      <c r="C33" s="2"/>
      <c r="D33" s="2"/>
      <c r="E33" s="2"/>
      <c r="F33" s="2"/>
      <c r="G33" s="2"/>
      <c r="H33" s="3"/>
      <c r="I33" s="31"/>
      <c r="J33" s="31"/>
      <c r="K33" s="31"/>
      <c r="L33" s="137"/>
      <c r="M33" s="137"/>
      <c r="N33" s="137"/>
      <c r="P33" s="92" t="s">
        <v>655</v>
      </c>
      <c r="Q33" s="92" t="s">
        <v>656</v>
      </c>
      <c r="R33" s="86" t="s">
        <v>657</v>
      </c>
      <c r="S33" s="86">
        <v>18.0</v>
      </c>
      <c r="T33" s="86">
        <v>115.0</v>
      </c>
      <c r="U33" s="168">
        <v>0.0</v>
      </c>
      <c r="V33" s="103"/>
      <c r="W33" s="86">
        <v>30.0</v>
      </c>
      <c r="X33" s="168" t="s">
        <v>433</v>
      </c>
      <c r="Y33" s="103"/>
      <c r="Z33" s="86" t="s">
        <v>646</v>
      </c>
      <c r="AA33" s="86" t="s">
        <v>646</v>
      </c>
      <c r="AB33" s="86">
        <v>20.0</v>
      </c>
      <c r="AC33" s="86">
        <v>880.0</v>
      </c>
      <c r="AD33" s="92">
        <v>0.3</v>
      </c>
      <c r="AE33" s="31"/>
      <c r="AF33" s="31"/>
      <c r="AG33" s="31"/>
      <c r="AH33" s="31"/>
      <c r="AI33" s="31"/>
      <c r="AJ33" s="31"/>
      <c r="AK33" s="31"/>
      <c r="AL33" s="31"/>
    </row>
    <row r="34" ht="15.75" hidden="1" customHeight="1">
      <c r="A34" s="11" t="s">
        <v>397</v>
      </c>
      <c r="B34" s="10" t="s">
        <v>398</v>
      </c>
      <c r="C34" s="3"/>
      <c r="D34" s="11" t="s">
        <v>9</v>
      </c>
      <c r="E34" s="11" t="s">
        <v>400</v>
      </c>
      <c r="F34" s="10" t="s">
        <v>401</v>
      </c>
      <c r="G34" s="2"/>
      <c r="H34" s="3"/>
      <c r="I34" s="177"/>
      <c r="J34" s="177"/>
      <c r="K34" s="37"/>
      <c r="L34" s="137"/>
      <c r="M34" s="137"/>
      <c r="N34" s="137"/>
      <c r="P34" s="79"/>
      <c r="Q34" s="79"/>
      <c r="R34" s="86" t="s">
        <v>658</v>
      </c>
      <c r="S34" s="86">
        <v>19.0</v>
      </c>
      <c r="T34" s="86">
        <v>120.0</v>
      </c>
      <c r="U34" s="164"/>
      <c r="V34" s="107"/>
      <c r="W34" s="86">
        <v>35.0</v>
      </c>
      <c r="X34" s="164"/>
      <c r="Y34" s="107"/>
      <c r="Z34" s="86" t="s">
        <v>646</v>
      </c>
      <c r="AA34" s="86" t="s">
        <v>646</v>
      </c>
      <c r="AB34" s="86">
        <v>30.0</v>
      </c>
      <c r="AC34" s="86">
        <v>1320.0</v>
      </c>
      <c r="AD34" s="79"/>
      <c r="AE34" s="31"/>
      <c r="AF34" s="31"/>
      <c r="AG34" s="31"/>
      <c r="AH34" s="31"/>
      <c r="AI34" s="31"/>
      <c r="AJ34" s="31"/>
      <c r="AK34" s="31"/>
      <c r="AL34" s="31"/>
    </row>
    <row r="35" ht="15.75" hidden="1" customHeight="1">
      <c r="A35" s="178" t="s">
        <v>659</v>
      </c>
      <c r="B35" s="179" t="s">
        <v>660</v>
      </c>
      <c r="C35" s="3"/>
      <c r="D35" s="66" t="s">
        <v>459</v>
      </c>
      <c r="E35" s="171">
        <v>400.0</v>
      </c>
      <c r="F35" s="180" t="s">
        <v>661</v>
      </c>
      <c r="G35" s="2"/>
      <c r="H35" s="3"/>
      <c r="I35" s="20"/>
      <c r="J35" s="20"/>
      <c r="K35" s="20"/>
      <c r="L35" s="137"/>
      <c r="M35" s="137"/>
      <c r="N35" s="137"/>
      <c r="P35" s="68"/>
      <c r="Q35" s="68"/>
      <c r="R35" s="86" t="s">
        <v>662</v>
      </c>
      <c r="S35" s="86">
        <v>19.5</v>
      </c>
      <c r="T35" s="86">
        <v>125.0</v>
      </c>
      <c r="U35" s="165"/>
      <c r="V35" s="109"/>
      <c r="W35" s="86">
        <v>40.0</v>
      </c>
      <c r="X35" s="165"/>
      <c r="Y35" s="109"/>
      <c r="Z35" s="86" t="s">
        <v>646</v>
      </c>
      <c r="AA35" s="86" t="s">
        <v>646</v>
      </c>
      <c r="AB35" s="86">
        <v>40.0</v>
      </c>
      <c r="AC35" s="86">
        <v>1760.0</v>
      </c>
      <c r="AD35" s="68"/>
      <c r="AE35" s="31"/>
      <c r="AF35" s="31"/>
      <c r="AG35" s="31"/>
      <c r="AH35" s="31"/>
      <c r="AI35" s="31"/>
      <c r="AJ35" s="31"/>
      <c r="AK35" s="31"/>
      <c r="AL35" s="31"/>
    </row>
    <row r="36" ht="15.75" hidden="1" customHeight="1">
      <c r="A36" s="178" t="s">
        <v>188</v>
      </c>
      <c r="B36" s="181" t="s">
        <v>663</v>
      </c>
      <c r="C36" s="181"/>
      <c r="D36" s="66" t="s">
        <v>408</v>
      </c>
      <c r="E36" s="171">
        <v>4.5</v>
      </c>
      <c r="F36" s="180" t="s">
        <v>664</v>
      </c>
      <c r="G36" s="2"/>
      <c r="H36" s="3"/>
      <c r="I36" s="20"/>
      <c r="J36" s="20"/>
      <c r="K36" s="20"/>
      <c r="L36" s="137"/>
      <c r="M36" s="137"/>
      <c r="N36" s="137"/>
      <c r="P36" s="92" t="s">
        <v>665</v>
      </c>
      <c r="Q36" s="92" t="s">
        <v>666</v>
      </c>
      <c r="R36" s="86" t="s">
        <v>657</v>
      </c>
      <c r="S36" s="92">
        <v>21.5</v>
      </c>
      <c r="T36" s="92">
        <v>135.0</v>
      </c>
      <c r="U36" s="168">
        <v>0.0</v>
      </c>
      <c r="V36" s="103"/>
      <c r="W36" s="86">
        <v>35.0</v>
      </c>
      <c r="X36" s="168" t="s">
        <v>433</v>
      </c>
      <c r="Y36" s="103"/>
      <c r="Z36" s="86" t="s">
        <v>646</v>
      </c>
      <c r="AA36" s="86" t="s">
        <v>646</v>
      </c>
      <c r="AB36" s="86">
        <v>60.0</v>
      </c>
      <c r="AC36" s="86">
        <v>2640.0</v>
      </c>
      <c r="AD36" s="92">
        <v>0.3</v>
      </c>
      <c r="AE36" s="31"/>
      <c r="AF36" s="31"/>
      <c r="AG36" s="31"/>
      <c r="AH36" s="31"/>
      <c r="AI36" s="31"/>
      <c r="AJ36" s="31"/>
      <c r="AK36" s="31"/>
      <c r="AL36" s="31"/>
    </row>
    <row r="37" ht="15.75" hidden="1" customHeight="1">
      <c r="A37" s="182" t="s">
        <v>646</v>
      </c>
      <c r="B37" s="183" t="s">
        <v>667</v>
      </c>
      <c r="C37" s="103"/>
      <c r="D37" s="98" t="s">
        <v>433</v>
      </c>
      <c r="E37" s="184">
        <v>1.0</v>
      </c>
      <c r="F37" s="185" t="s">
        <v>668</v>
      </c>
      <c r="G37" s="6"/>
      <c r="H37" s="103"/>
      <c r="I37" s="20"/>
      <c r="J37" s="20"/>
      <c r="K37" s="20"/>
      <c r="L37" s="137"/>
      <c r="M37" s="137"/>
      <c r="N37" s="137"/>
      <c r="P37" s="79"/>
      <c r="Q37" s="79"/>
      <c r="R37" s="86" t="s">
        <v>658</v>
      </c>
      <c r="S37" s="79"/>
      <c r="T37" s="79"/>
      <c r="U37" s="164"/>
      <c r="V37" s="107"/>
      <c r="W37" s="86">
        <v>40.0</v>
      </c>
      <c r="X37" s="164"/>
      <c r="Y37" s="107"/>
      <c r="Z37" s="86" t="s">
        <v>646</v>
      </c>
      <c r="AA37" s="86" t="s">
        <v>646</v>
      </c>
      <c r="AB37" s="86">
        <v>80.0</v>
      </c>
      <c r="AC37" s="86">
        <v>3520.0</v>
      </c>
      <c r="AD37" s="79"/>
      <c r="AE37" s="31"/>
      <c r="AF37" s="31"/>
      <c r="AG37" s="31"/>
      <c r="AH37" s="31"/>
      <c r="AI37" s="31"/>
      <c r="AJ37" s="31"/>
      <c r="AK37" s="31"/>
      <c r="AL37" s="31"/>
    </row>
    <row r="38" ht="15.75" hidden="1" customHeight="1">
      <c r="A38" s="68"/>
      <c r="B38" s="165"/>
      <c r="C38" s="109"/>
      <c r="D38" s="68"/>
      <c r="E38" s="68"/>
      <c r="F38" s="165"/>
      <c r="G38" s="53"/>
      <c r="H38" s="109"/>
      <c r="I38" s="137"/>
      <c r="J38" s="137"/>
      <c r="K38" s="137"/>
      <c r="L38" s="137"/>
      <c r="M38" s="137"/>
      <c r="N38" s="137"/>
      <c r="P38" s="68"/>
      <c r="Q38" s="68"/>
      <c r="R38" s="86" t="s">
        <v>662</v>
      </c>
      <c r="S38" s="68"/>
      <c r="T38" s="68"/>
      <c r="U38" s="165"/>
      <c r="V38" s="109"/>
      <c r="W38" s="86">
        <v>45.0</v>
      </c>
      <c r="X38" s="165"/>
      <c r="Y38" s="109"/>
      <c r="Z38" s="86" t="s">
        <v>646</v>
      </c>
      <c r="AA38" s="86" t="s">
        <v>646</v>
      </c>
      <c r="AB38" s="86">
        <v>100.0</v>
      </c>
      <c r="AC38" s="86">
        <v>4400.0</v>
      </c>
      <c r="AD38" s="68"/>
      <c r="AE38" s="31"/>
      <c r="AF38" s="31"/>
      <c r="AG38" s="31"/>
      <c r="AH38" s="31"/>
      <c r="AI38" s="31"/>
      <c r="AJ38" s="31"/>
      <c r="AK38" s="31"/>
      <c r="AL38" s="31"/>
    </row>
    <row r="39" ht="13.5" hidden="1" customHeight="1">
      <c r="G39" s="37"/>
      <c r="H39" s="150"/>
      <c r="I39" s="137"/>
      <c r="J39" s="137"/>
      <c r="K39" s="137"/>
      <c r="L39" s="137"/>
      <c r="M39" s="137"/>
      <c r="N39" s="137"/>
      <c r="P39" s="92" t="s">
        <v>669</v>
      </c>
      <c r="Q39" s="92" t="s">
        <v>670</v>
      </c>
      <c r="R39" s="86" t="s">
        <v>657</v>
      </c>
      <c r="S39" s="86">
        <v>19.0</v>
      </c>
      <c r="T39" s="86">
        <v>120.0</v>
      </c>
      <c r="U39" s="168">
        <v>0.0</v>
      </c>
      <c r="V39" s="103"/>
      <c r="W39" s="86">
        <v>35.0</v>
      </c>
      <c r="X39" s="168" t="s">
        <v>433</v>
      </c>
      <c r="Y39" s="103"/>
      <c r="Z39" s="86" t="s">
        <v>646</v>
      </c>
      <c r="AA39" s="86" t="s">
        <v>646</v>
      </c>
      <c r="AB39" s="86">
        <v>30.0</v>
      </c>
      <c r="AC39" s="86">
        <v>1320.0</v>
      </c>
      <c r="AD39" s="92">
        <v>0.3</v>
      </c>
      <c r="AE39" s="31"/>
      <c r="AF39" s="31"/>
      <c r="AG39" s="31"/>
      <c r="AH39" s="31"/>
      <c r="AI39" s="31"/>
      <c r="AJ39" s="31"/>
      <c r="AK39" s="31"/>
      <c r="AL39" s="31"/>
    </row>
    <row r="40" ht="12.75" hidden="1" customHeight="1">
      <c r="G40" s="37"/>
      <c r="H40" s="150"/>
      <c r="I40" s="137"/>
      <c r="J40" s="137"/>
      <c r="K40" s="137"/>
      <c r="L40" s="137"/>
      <c r="M40" s="137"/>
      <c r="N40" s="137"/>
      <c r="P40" s="79"/>
      <c r="Q40" s="79"/>
      <c r="R40" s="86" t="s">
        <v>658</v>
      </c>
      <c r="S40" s="86">
        <v>19.5</v>
      </c>
      <c r="T40" s="86">
        <v>125.0</v>
      </c>
      <c r="U40" s="164"/>
      <c r="V40" s="107"/>
      <c r="W40" s="86">
        <v>40.0</v>
      </c>
      <c r="X40" s="164"/>
      <c r="Y40" s="107"/>
      <c r="Z40" s="86" t="s">
        <v>646</v>
      </c>
      <c r="AA40" s="86" t="s">
        <v>646</v>
      </c>
      <c r="AB40" s="86">
        <v>40.0</v>
      </c>
      <c r="AC40" s="86">
        <v>1760.0</v>
      </c>
      <c r="AD40" s="79"/>
      <c r="AE40" s="31"/>
      <c r="AF40" s="31"/>
      <c r="AG40" s="31"/>
      <c r="AH40" s="31"/>
      <c r="AI40" s="31"/>
      <c r="AJ40" s="31"/>
      <c r="AK40" s="31"/>
      <c r="AL40" s="31"/>
    </row>
    <row r="41" ht="18.0" hidden="1" customHeight="1">
      <c r="A41" s="186" t="s">
        <v>671</v>
      </c>
      <c r="B41" s="113"/>
      <c r="C41" s="113"/>
      <c r="D41" s="113"/>
      <c r="E41" s="113"/>
      <c r="F41" s="113"/>
      <c r="G41" s="113"/>
      <c r="H41" s="113"/>
      <c r="I41" s="113"/>
      <c r="J41" s="113"/>
      <c r="K41" s="113"/>
      <c r="L41" s="113"/>
      <c r="M41" s="113"/>
      <c r="N41" s="114"/>
      <c r="P41" s="68"/>
      <c r="Q41" s="68"/>
      <c r="R41" s="86" t="s">
        <v>662</v>
      </c>
      <c r="S41" s="86">
        <v>20.5</v>
      </c>
      <c r="T41" s="86">
        <v>130.0</v>
      </c>
      <c r="U41" s="165"/>
      <c r="V41" s="109"/>
      <c r="W41" s="86">
        <v>45.0</v>
      </c>
      <c r="X41" s="165"/>
      <c r="Y41" s="109"/>
      <c r="Z41" s="86" t="s">
        <v>646</v>
      </c>
      <c r="AA41" s="86" t="s">
        <v>646</v>
      </c>
      <c r="AB41" s="86">
        <v>50.0</v>
      </c>
      <c r="AC41" s="86">
        <v>2200.0</v>
      </c>
      <c r="AD41" s="68"/>
      <c r="AE41" s="31"/>
      <c r="AF41" s="31"/>
      <c r="AG41" s="31"/>
      <c r="AH41" s="31"/>
      <c r="AI41" s="31"/>
      <c r="AJ41" s="31"/>
      <c r="AK41" s="31"/>
      <c r="AL41" s="31"/>
    </row>
    <row r="42" ht="14.25" hidden="1" customHeight="1">
      <c r="A42" s="62" t="s">
        <v>672</v>
      </c>
      <c r="B42" s="62" t="s">
        <v>673</v>
      </c>
      <c r="C42" s="62" t="s">
        <v>674</v>
      </c>
      <c r="D42" s="62" t="s">
        <v>675</v>
      </c>
      <c r="E42" s="163" t="s">
        <v>676</v>
      </c>
      <c r="F42" s="163" t="s">
        <v>677</v>
      </c>
      <c r="G42" s="62" t="s">
        <v>678</v>
      </c>
      <c r="H42" s="163" t="s">
        <v>679</v>
      </c>
      <c r="I42" s="187" t="s">
        <v>680</v>
      </c>
      <c r="J42" s="188" t="s">
        <v>681</v>
      </c>
      <c r="K42" s="187" t="s">
        <v>682</v>
      </c>
      <c r="L42" s="187" t="s">
        <v>683</v>
      </c>
      <c r="M42" s="187" t="s">
        <v>684</v>
      </c>
      <c r="N42" s="187" t="s">
        <v>685</v>
      </c>
      <c r="P42" s="189" t="s">
        <v>686</v>
      </c>
      <c r="Q42" s="6"/>
      <c r="R42" s="6"/>
      <c r="S42" s="6"/>
      <c r="T42" s="6"/>
      <c r="U42" s="6"/>
      <c r="V42" s="6"/>
      <c r="W42" s="6"/>
      <c r="X42" s="6"/>
      <c r="Y42" s="6"/>
      <c r="Z42" s="6"/>
      <c r="AA42" s="6"/>
      <c r="AB42" s="6"/>
      <c r="AC42" s="6"/>
      <c r="AD42" s="103"/>
      <c r="AE42" s="31"/>
      <c r="AF42" s="31"/>
      <c r="AG42" s="31"/>
      <c r="AH42" s="31"/>
      <c r="AI42" s="31"/>
      <c r="AJ42" s="31"/>
      <c r="AK42" s="31"/>
      <c r="AL42" s="31"/>
    </row>
    <row r="43" ht="14.25" hidden="1" customHeight="1">
      <c r="A43" s="79"/>
      <c r="B43" s="79"/>
      <c r="C43" s="79"/>
      <c r="D43" s="79"/>
      <c r="E43" s="79"/>
      <c r="F43" s="79"/>
      <c r="G43" s="79"/>
      <c r="H43" s="79"/>
      <c r="I43" s="79"/>
      <c r="J43" s="79"/>
      <c r="K43" s="79"/>
      <c r="L43" s="79"/>
      <c r="M43" s="79"/>
      <c r="N43" s="79"/>
      <c r="P43" s="190" t="s">
        <v>687</v>
      </c>
      <c r="AD43" s="107"/>
      <c r="AE43" s="31"/>
      <c r="AF43" s="31"/>
      <c r="AG43" s="31"/>
      <c r="AH43" s="31"/>
      <c r="AI43" s="31"/>
      <c r="AJ43" s="31"/>
      <c r="AK43" s="31"/>
      <c r="AL43" s="31"/>
    </row>
    <row r="44" ht="15.75" hidden="1" customHeight="1">
      <c r="A44" s="79"/>
      <c r="B44" s="68"/>
      <c r="C44" s="68"/>
      <c r="D44" s="68"/>
      <c r="E44" s="68"/>
      <c r="F44" s="68"/>
      <c r="G44" s="68"/>
      <c r="H44" s="68"/>
      <c r="I44" s="68"/>
      <c r="J44" s="68"/>
      <c r="K44" s="68"/>
      <c r="L44" s="68"/>
      <c r="M44" s="68"/>
      <c r="N44" s="68"/>
      <c r="P44" s="190" t="s">
        <v>688</v>
      </c>
      <c r="AD44" s="107"/>
      <c r="AE44" s="31"/>
      <c r="AF44" s="31"/>
      <c r="AG44" s="31"/>
      <c r="AH44" s="31"/>
      <c r="AI44" s="31"/>
      <c r="AJ44" s="31"/>
      <c r="AK44" s="31"/>
      <c r="AL44" s="31"/>
    </row>
    <row r="45" ht="12.75" hidden="1" customHeight="1">
      <c r="A45" s="79"/>
      <c r="B45" s="98" t="s">
        <v>408</v>
      </c>
      <c r="C45" s="98" t="s">
        <v>408</v>
      </c>
      <c r="D45" s="169" t="s">
        <v>647</v>
      </c>
      <c r="E45" s="191" t="s">
        <v>648</v>
      </c>
      <c r="F45" s="191" t="s">
        <v>648</v>
      </c>
      <c r="G45" s="169" t="s">
        <v>517</v>
      </c>
      <c r="H45" s="191" t="s">
        <v>648</v>
      </c>
      <c r="I45" s="192" t="s">
        <v>648</v>
      </c>
      <c r="J45" s="192" t="s">
        <v>648</v>
      </c>
      <c r="K45" s="192" t="s">
        <v>648</v>
      </c>
      <c r="L45" s="192" t="s">
        <v>648</v>
      </c>
      <c r="M45" s="192" t="s">
        <v>448</v>
      </c>
      <c r="N45" s="192" t="s">
        <v>648</v>
      </c>
      <c r="P45" s="190" t="s">
        <v>689</v>
      </c>
      <c r="AD45" s="107"/>
      <c r="AE45" s="31"/>
      <c r="AF45" s="31"/>
      <c r="AG45" s="31"/>
      <c r="AH45" s="31"/>
      <c r="AI45" s="31"/>
      <c r="AJ45" s="31"/>
      <c r="AK45" s="31"/>
      <c r="AL45" s="31"/>
    </row>
    <row r="46" ht="15.75" hidden="1" customHeight="1">
      <c r="A46" s="68"/>
      <c r="B46" s="68"/>
      <c r="C46" s="68"/>
      <c r="D46" s="68"/>
      <c r="E46" s="68"/>
      <c r="F46" s="68"/>
      <c r="G46" s="68"/>
      <c r="H46" s="68"/>
      <c r="I46" s="68"/>
      <c r="J46" s="68"/>
      <c r="K46" s="68"/>
      <c r="L46" s="68"/>
      <c r="M46" s="68"/>
      <c r="N46" s="68"/>
      <c r="P46" s="190" t="s">
        <v>690</v>
      </c>
      <c r="AD46" s="107"/>
      <c r="AE46" s="31"/>
      <c r="AF46" s="31"/>
      <c r="AG46" s="31"/>
      <c r="AH46" s="31"/>
      <c r="AI46" s="31"/>
      <c r="AJ46" s="31"/>
      <c r="AK46" s="31"/>
      <c r="AL46" s="31"/>
    </row>
    <row r="47" ht="14.25" hidden="1" customHeight="1">
      <c r="A47" s="170">
        <v>1.0</v>
      </c>
      <c r="B47" s="170">
        <v>0.5</v>
      </c>
      <c r="C47" s="170">
        <v>1.0</v>
      </c>
      <c r="D47" s="95">
        <f t="shared" ref="D47:D154" si="3">IF(AND($B47&gt;$B$31,$B47&lt;$C$31),$D$31,IF(AND($B47&gt;$B$32,$B47&lt;$C$32),$D$32,IF(AND($B47&gt;#REF!,$B47&lt;#REF!),#REF!,IF(AND($B47&gt;#REF!,$B47&lt;#REF!),#REF!,IF(AND($B47&gt;#REF!,$B47&lt;#REF!),#REF!,IF(AND($B47&gt;#REF!,$B47&lt;#REF!),#REF!,IF(AND($B47&gt;#REF!,$B47&lt;#REF!),#REF!)))))))</f>
        <v>135</v>
      </c>
      <c r="E47" s="193">
        <f>+B47*D47/1728</f>
        <v>0.0390625</v>
      </c>
      <c r="F47" s="131">
        <f t="shared" ref="F47:F154" si="4">IF(B47&lt;$E$35,E47,E47-0.0361*(B47-$E$35))</f>
        <v>0.0390625</v>
      </c>
      <c r="G47" s="101">
        <f t="shared" ref="G47:G154" si="5">IF(AND($B47&gt;$B$31,$B47&lt;$C$31),$E$31,IF(AND($B47&gt;$B$32,$B47&lt;$C$32),$E$32,IF(AND($B47&gt;#REF!,$B47&lt;#REF!),#REF!,IF(AND($B47&gt;#REF!,$B47&lt;#REF!),#REF!,IF(AND($B47&gt;#REF!,$B47&lt;#REF!),#REF!,IF(AND($B47&gt;#REF!,$B47&lt;#REF!),#REF!,IF(AND($B47&gt;#REF!,$B47&lt;#REF!),#REF!)))))))</f>
        <v>35</v>
      </c>
      <c r="H47" s="194">
        <f t="shared" ref="H47:H154" si="6">IF(AND($B47&gt;$B$31,$B47&lt;$C$31),$F$31,IF(AND($B47&gt;$B$32,$B47&lt;$C$32),$F$32,IF(AND($B47&gt;#REF!,$B47&lt;#REF!),#REF!,IF(AND($B47&gt;#REF!,$B47&lt;#REF!),#REF!,IF(AND($B47&gt;#REF!,$B47&lt;#REF!),#REF!,IF(AND($B47&gt;#REF!,$B47&lt;#REF!),#REF!,IF(AND($B47&gt;#REF!,$B47&lt;#REF!),#REF!)))))))</f>
        <v>0</v>
      </c>
      <c r="I47" s="91" t="str">
        <f t="shared" ref="I47:I154" si="7">IF(AND($B47&gt;$B$31,$B47&lt;$C$31),$G$31,IF(AND($B47&gt;$B$32,$B47&lt;$C$32),$G$32,IF(AND($B47&gt;#REF!,$B47&lt;#REF!),#REF!,IF(AND($B47&gt;#REF!,$B47&lt;#REF!),#REF!,IF(AND($B47&gt;#REF!,$B47&lt;#REF!),#REF!,IF(AND($B47&gt;#REF!,$B47&lt;#REF!),#REF!,IF(AND($B47&gt;#REF!,$B47&lt;#REF!),#REF!)))))))</f>
        <v/>
      </c>
      <c r="J47" s="91" t="str">
        <f t="shared" ref="J47:J154" si="8">IF(AND($B47&gt;$B$31,$B47&lt;$C$31),$H$31,IF(AND($B47&gt;$B$32,$B47&lt;$C$32),$H$32,IF(AND($B47&gt;#REF!,$B47&lt;#REF!),#REF!,IF(AND($B47&gt;#REF!,$B47&lt;#REF!),#REF!,IF(AND($B47&gt;#REF!,$B47&lt;#REF!),#REF!,IF(AND($B47&gt;#REF!,$B47&lt;#REF!),#REF!,IF(AND($B47&gt;#REF!,$B47&lt;#REF!),#REF!)))))))</f>
        <v/>
      </c>
      <c r="K47" s="91">
        <f t="shared" ref="K47:L47" si="1">IF($B47&gt;4*$E$36,H47,H47*(1/3+$B47/(2*$E$36)/3))</f>
        <v>0</v>
      </c>
      <c r="L47" s="91">
        <f t="shared" si="1"/>
        <v>0</v>
      </c>
      <c r="M47" s="91">
        <f t="shared" ref="M47:M154" si="10">IF(G47&lt;0.5,0,(1+SIN(G47*3.1416/180))/(1-SIN(G47*3.1416/180)))</f>
        <v>3.690185202</v>
      </c>
      <c r="N47" s="91">
        <f t="shared" ref="N47:N154" si="11">IF($E$37=1,3*($F47*$M47+2*$K47*$M47^0.5),IF($E$37=2,9*$L47,IF($E$37=3,$J47,0)))</f>
        <v>0.4324435784</v>
      </c>
      <c r="P47" s="195" t="s">
        <v>691</v>
      </c>
      <c r="Q47" s="53"/>
      <c r="R47" s="53"/>
      <c r="S47" s="53"/>
      <c r="T47" s="53"/>
      <c r="U47" s="53"/>
      <c r="V47" s="53"/>
      <c r="W47" s="53"/>
      <c r="X47" s="53"/>
      <c r="Y47" s="53"/>
      <c r="Z47" s="53"/>
      <c r="AA47" s="53"/>
      <c r="AB47" s="53"/>
      <c r="AC47" s="53"/>
      <c r="AD47" s="109"/>
      <c r="AE47" s="31"/>
      <c r="AF47" s="31"/>
      <c r="AG47" s="31"/>
      <c r="AH47" s="31"/>
      <c r="AI47" s="31"/>
      <c r="AJ47" s="31"/>
      <c r="AK47" s="31"/>
      <c r="AL47" s="31"/>
    </row>
    <row r="48" ht="12.75" hidden="1" customHeight="1">
      <c r="A48" s="170">
        <f t="shared" ref="A48:B48" si="2">+A47+1</f>
        <v>2</v>
      </c>
      <c r="B48" s="170">
        <f t="shared" si="2"/>
        <v>1.5</v>
      </c>
      <c r="C48" s="170">
        <v>1.0</v>
      </c>
      <c r="D48" s="95">
        <f t="shared" si="3"/>
        <v>135</v>
      </c>
      <c r="E48" s="193">
        <f t="shared" ref="E48:E154" si="13">+E47+(D47+D48)/2/1728</f>
        <v>0.1171875</v>
      </c>
      <c r="F48" s="131">
        <f t="shared" si="4"/>
        <v>0.1171875</v>
      </c>
      <c r="G48" s="101">
        <f t="shared" si="5"/>
        <v>35</v>
      </c>
      <c r="H48" s="194">
        <f t="shared" si="6"/>
        <v>0</v>
      </c>
      <c r="I48" s="91" t="str">
        <f t="shared" si="7"/>
        <v/>
      </c>
      <c r="J48" s="91" t="str">
        <f t="shared" si="8"/>
        <v/>
      </c>
      <c r="K48" s="91">
        <f t="shared" ref="K48:L48" si="9">IF($B48&gt;4*$E$36,H48,H48*(1/3+$B48/(2*$E$36)/3))</f>
        <v>0</v>
      </c>
      <c r="L48" s="91">
        <f t="shared" si="9"/>
        <v>0</v>
      </c>
      <c r="M48" s="91">
        <f t="shared" si="10"/>
        <v>3.690185202</v>
      </c>
      <c r="N48" s="91">
        <f t="shared" si="11"/>
        <v>1.297330735</v>
      </c>
      <c r="AE48" s="31"/>
      <c r="AF48" s="31"/>
      <c r="AG48" s="31"/>
      <c r="AH48" s="31"/>
      <c r="AI48" s="31"/>
      <c r="AJ48" s="31"/>
      <c r="AK48" s="31"/>
      <c r="AL48" s="31"/>
    </row>
    <row r="49" ht="12.75" hidden="1" customHeight="1">
      <c r="A49" s="170">
        <f t="shared" ref="A49:B49" si="12">+A48+1</f>
        <v>3</v>
      </c>
      <c r="B49" s="170">
        <f t="shared" si="12"/>
        <v>2.5</v>
      </c>
      <c r="C49" s="170">
        <v>1.0</v>
      </c>
      <c r="D49" s="95">
        <f t="shared" si="3"/>
        <v>135</v>
      </c>
      <c r="E49" s="193">
        <f t="shared" si="13"/>
        <v>0.1953125</v>
      </c>
      <c r="F49" s="131">
        <f t="shared" si="4"/>
        <v>0.1953125</v>
      </c>
      <c r="G49" s="101">
        <f t="shared" si="5"/>
        <v>35</v>
      </c>
      <c r="H49" s="194">
        <f t="shared" si="6"/>
        <v>0</v>
      </c>
      <c r="I49" s="91" t="str">
        <f t="shared" si="7"/>
        <v/>
      </c>
      <c r="J49" s="91" t="str">
        <f t="shared" si="8"/>
        <v/>
      </c>
      <c r="K49" s="91">
        <f t="shared" ref="K49:L49" si="14">IF($B49&gt;4*$E$36,H49,H49*(1/3+$B49/(2*$E$36)/3))</f>
        <v>0</v>
      </c>
      <c r="L49" s="91">
        <f t="shared" si="14"/>
        <v>0</v>
      </c>
      <c r="M49" s="91">
        <f t="shared" si="10"/>
        <v>3.690185202</v>
      </c>
      <c r="N49" s="91">
        <f t="shared" si="11"/>
        <v>2.162217892</v>
      </c>
      <c r="Q49" s="196"/>
      <c r="R49" s="197"/>
      <c r="S49" s="198" t="s">
        <v>692</v>
      </c>
      <c r="T49" s="198" t="s">
        <v>693</v>
      </c>
      <c r="U49" s="198" t="s">
        <v>694</v>
      </c>
      <c r="V49" s="198" t="s">
        <v>695</v>
      </c>
      <c r="Y49" s="199">
        <v>12.0</v>
      </c>
      <c r="Z49" s="199">
        <v>48.0</v>
      </c>
      <c r="AE49" s="31"/>
      <c r="AF49" s="31"/>
      <c r="AG49" s="31"/>
      <c r="AH49" s="31"/>
      <c r="AI49" s="31"/>
      <c r="AJ49" s="31"/>
      <c r="AK49" s="31"/>
      <c r="AL49" s="31"/>
    </row>
    <row r="50" ht="12.75" hidden="1" customHeight="1">
      <c r="A50" s="170">
        <f t="shared" ref="A50:B50" si="15">+A49+1</f>
        <v>4</v>
      </c>
      <c r="B50" s="170">
        <f t="shared" si="15"/>
        <v>3.5</v>
      </c>
      <c r="C50" s="170">
        <v>1.0</v>
      </c>
      <c r="D50" s="95">
        <f t="shared" si="3"/>
        <v>135</v>
      </c>
      <c r="E50" s="193">
        <f t="shared" si="13"/>
        <v>0.2734375</v>
      </c>
      <c r="F50" s="131">
        <f t="shared" si="4"/>
        <v>0.2734375</v>
      </c>
      <c r="G50" s="101">
        <f t="shared" si="5"/>
        <v>35</v>
      </c>
      <c r="H50" s="194">
        <f t="shared" si="6"/>
        <v>0</v>
      </c>
      <c r="I50" s="91" t="str">
        <f t="shared" si="7"/>
        <v/>
      </c>
      <c r="J50" s="91" t="str">
        <f t="shared" si="8"/>
        <v/>
      </c>
      <c r="K50" s="91">
        <f t="shared" ref="K50:L50" si="16">IF($B50&gt;4*$E$36,H50,H50*(1/3+$B50/(2*$E$36)/3))</f>
        <v>0</v>
      </c>
      <c r="L50" s="91">
        <f t="shared" si="16"/>
        <v>0</v>
      </c>
      <c r="M50" s="91">
        <f t="shared" si="10"/>
        <v>3.690185202</v>
      </c>
      <c r="N50" s="91">
        <f t="shared" si="11"/>
        <v>3.027105049</v>
      </c>
      <c r="Q50" s="196"/>
      <c r="R50" s="197" t="s">
        <v>696</v>
      </c>
      <c r="S50" s="200">
        <v>135.0</v>
      </c>
      <c r="T50" s="201">
        <v>0.0</v>
      </c>
      <c r="U50" s="201">
        <v>35.0</v>
      </c>
      <c r="V50" s="201">
        <v>0.0</v>
      </c>
      <c r="Y50" s="199">
        <v>18.0</v>
      </c>
      <c r="Z50" s="199">
        <v>60.0</v>
      </c>
      <c r="AE50" s="31"/>
      <c r="AF50" s="31"/>
      <c r="AG50" s="31"/>
      <c r="AH50" s="31"/>
      <c r="AI50" s="31"/>
      <c r="AJ50" s="31"/>
      <c r="AK50" s="31"/>
      <c r="AL50" s="31"/>
    </row>
    <row r="51" ht="12.75" hidden="1" customHeight="1">
      <c r="A51" s="170">
        <f t="shared" ref="A51:B51" si="17">+A50+1</f>
        <v>5</v>
      </c>
      <c r="B51" s="170">
        <f t="shared" si="17"/>
        <v>4.5</v>
      </c>
      <c r="C51" s="170">
        <v>1.0</v>
      </c>
      <c r="D51" s="95">
        <f t="shared" si="3"/>
        <v>135</v>
      </c>
      <c r="E51" s="193">
        <f t="shared" si="13"/>
        <v>0.3515625</v>
      </c>
      <c r="F51" s="131">
        <f t="shared" si="4"/>
        <v>0.3515625</v>
      </c>
      <c r="G51" s="101">
        <f t="shared" si="5"/>
        <v>35</v>
      </c>
      <c r="H51" s="194">
        <f t="shared" si="6"/>
        <v>0</v>
      </c>
      <c r="I51" s="91" t="str">
        <f t="shared" si="7"/>
        <v/>
      </c>
      <c r="J51" s="91" t="str">
        <f t="shared" si="8"/>
        <v/>
      </c>
      <c r="K51" s="91">
        <f t="shared" ref="K51:L51" si="18">IF($B51&gt;4*$E$36,H51,H51*(1/3+$B51/(2*$E$36)/3))</f>
        <v>0</v>
      </c>
      <c r="L51" s="91">
        <f t="shared" si="18"/>
        <v>0</v>
      </c>
      <c r="M51" s="91">
        <f t="shared" si="10"/>
        <v>3.690185202</v>
      </c>
      <c r="N51" s="91">
        <f t="shared" si="11"/>
        <v>3.891992206</v>
      </c>
      <c r="Q51" s="196"/>
      <c r="R51" s="197" t="s">
        <v>617</v>
      </c>
      <c r="S51" s="200">
        <v>135.0</v>
      </c>
      <c r="T51" s="201">
        <v>0.0</v>
      </c>
      <c r="U51" s="201">
        <v>35.0</v>
      </c>
      <c r="V51" s="201">
        <v>0.0</v>
      </c>
      <c r="Y51" s="199">
        <v>24.0</v>
      </c>
      <c r="Z51" s="199">
        <v>72.0</v>
      </c>
      <c r="AE51" s="31"/>
      <c r="AF51" s="31"/>
      <c r="AG51" s="31"/>
      <c r="AH51" s="31"/>
      <c r="AI51" s="31"/>
      <c r="AJ51" s="31"/>
      <c r="AK51" s="31"/>
      <c r="AL51" s="31"/>
    </row>
    <row r="52" ht="12.75" hidden="1" customHeight="1">
      <c r="A52" s="170">
        <f t="shared" ref="A52:B52" si="19">+A51+1</f>
        <v>6</v>
      </c>
      <c r="B52" s="170">
        <f t="shared" si="19"/>
        <v>5.5</v>
      </c>
      <c r="C52" s="170">
        <v>1.0</v>
      </c>
      <c r="D52" s="95">
        <f t="shared" si="3"/>
        <v>135</v>
      </c>
      <c r="E52" s="193">
        <f t="shared" si="13"/>
        <v>0.4296875</v>
      </c>
      <c r="F52" s="131">
        <f t="shared" si="4"/>
        <v>0.4296875</v>
      </c>
      <c r="G52" s="101">
        <f t="shared" si="5"/>
        <v>35</v>
      </c>
      <c r="H52" s="194">
        <f t="shared" si="6"/>
        <v>0</v>
      </c>
      <c r="I52" s="91" t="str">
        <f t="shared" si="7"/>
        <v/>
      </c>
      <c r="J52" s="91" t="str">
        <f t="shared" si="8"/>
        <v/>
      </c>
      <c r="K52" s="91">
        <f t="shared" ref="K52:L52" si="20">IF($B52&gt;4*$E$36,H52,H52*(1/3+$B52/(2*$E$36)/3))</f>
        <v>0</v>
      </c>
      <c r="L52" s="91">
        <f t="shared" si="20"/>
        <v>0</v>
      </c>
      <c r="M52" s="91">
        <f t="shared" si="10"/>
        <v>3.690185202</v>
      </c>
      <c r="N52" s="91">
        <f t="shared" si="11"/>
        <v>4.756879362</v>
      </c>
      <c r="Q52" s="196"/>
      <c r="R52" s="197" t="s">
        <v>697</v>
      </c>
      <c r="S52" s="201">
        <v>120.0</v>
      </c>
      <c r="T52" s="201">
        <v>0.0</v>
      </c>
      <c r="U52" s="201">
        <v>35.0</v>
      </c>
      <c r="V52" s="201">
        <v>0.0</v>
      </c>
      <c r="Y52" s="199">
        <v>36.0</v>
      </c>
      <c r="Z52" s="199">
        <v>84.0</v>
      </c>
      <c r="AE52" s="31"/>
      <c r="AF52" s="31"/>
      <c r="AG52" s="31"/>
      <c r="AH52" s="31"/>
      <c r="AI52" s="31"/>
      <c r="AJ52" s="31"/>
      <c r="AK52" s="31"/>
      <c r="AL52" s="31"/>
    </row>
    <row r="53" ht="12.75" hidden="1" customHeight="1">
      <c r="A53" s="170">
        <f t="shared" ref="A53:B53" si="21">+A52+1</f>
        <v>7</v>
      </c>
      <c r="B53" s="170">
        <f t="shared" si="21"/>
        <v>6.5</v>
      </c>
      <c r="C53" s="170">
        <v>1.0</v>
      </c>
      <c r="D53" s="95">
        <f t="shared" si="3"/>
        <v>135</v>
      </c>
      <c r="E53" s="193">
        <f t="shared" si="13"/>
        <v>0.5078125</v>
      </c>
      <c r="F53" s="131">
        <f t="shared" si="4"/>
        <v>0.5078125</v>
      </c>
      <c r="G53" s="101">
        <f t="shared" si="5"/>
        <v>35</v>
      </c>
      <c r="H53" s="194">
        <f t="shared" si="6"/>
        <v>0</v>
      </c>
      <c r="I53" s="91" t="str">
        <f t="shared" si="7"/>
        <v/>
      </c>
      <c r="J53" s="91" t="str">
        <f t="shared" si="8"/>
        <v/>
      </c>
      <c r="K53" s="91">
        <f t="shared" ref="K53:L53" si="22">IF($B53&gt;4*$E$36,H53,H53*(1/3+$B53/(2*$E$36)/3))</f>
        <v>0</v>
      </c>
      <c r="L53" s="91">
        <f t="shared" si="22"/>
        <v>0</v>
      </c>
      <c r="M53" s="91">
        <f t="shared" si="10"/>
        <v>3.690185202</v>
      </c>
      <c r="N53" s="91">
        <f t="shared" si="11"/>
        <v>5.621766519</v>
      </c>
      <c r="Q53" s="196"/>
      <c r="R53" s="197" t="s">
        <v>698</v>
      </c>
      <c r="S53" s="201">
        <v>120.0</v>
      </c>
      <c r="T53" s="201">
        <v>0.0</v>
      </c>
      <c r="U53" s="201">
        <v>35.0</v>
      </c>
      <c r="V53" s="201">
        <v>0.0</v>
      </c>
      <c r="AE53" s="31"/>
      <c r="AF53" s="31"/>
      <c r="AG53" s="31"/>
      <c r="AH53" s="31"/>
      <c r="AI53" s="31"/>
      <c r="AJ53" s="31"/>
      <c r="AK53" s="31"/>
      <c r="AL53" s="31"/>
    </row>
    <row r="54" ht="12.75" hidden="1" customHeight="1">
      <c r="A54" s="170">
        <f t="shared" ref="A54:B54" si="23">+A53+1</f>
        <v>8</v>
      </c>
      <c r="B54" s="170">
        <f t="shared" si="23"/>
        <v>7.5</v>
      </c>
      <c r="C54" s="170">
        <v>1.0</v>
      </c>
      <c r="D54" s="95">
        <f t="shared" si="3"/>
        <v>135</v>
      </c>
      <c r="E54" s="193">
        <f t="shared" si="13"/>
        <v>0.5859375</v>
      </c>
      <c r="F54" s="131">
        <f t="shared" si="4"/>
        <v>0.5859375</v>
      </c>
      <c r="G54" s="101">
        <f t="shared" si="5"/>
        <v>35</v>
      </c>
      <c r="H54" s="194">
        <f t="shared" si="6"/>
        <v>0</v>
      </c>
      <c r="I54" s="91" t="str">
        <f t="shared" si="7"/>
        <v/>
      </c>
      <c r="J54" s="91" t="str">
        <f t="shared" si="8"/>
        <v/>
      </c>
      <c r="K54" s="91">
        <f t="shared" ref="K54:L54" si="24">IF($B54&gt;4*$E$36,H54,H54*(1/3+$B54/(2*$E$36)/3))</f>
        <v>0</v>
      </c>
      <c r="L54" s="91">
        <f t="shared" si="24"/>
        <v>0</v>
      </c>
      <c r="M54" s="91">
        <f t="shared" si="10"/>
        <v>3.690185202</v>
      </c>
      <c r="N54" s="91">
        <f t="shared" si="11"/>
        <v>6.486653676</v>
      </c>
      <c r="Q54" s="196"/>
      <c r="R54" s="197" t="s">
        <v>699</v>
      </c>
      <c r="S54" s="201">
        <v>115.0</v>
      </c>
      <c r="T54" s="201">
        <v>0.0</v>
      </c>
      <c r="U54" s="201">
        <v>30.0</v>
      </c>
      <c r="V54" s="201">
        <v>0.0</v>
      </c>
      <c r="AE54" s="31"/>
      <c r="AF54" s="31"/>
      <c r="AG54" s="31"/>
      <c r="AH54" s="31"/>
      <c r="AI54" s="31"/>
      <c r="AJ54" s="31"/>
      <c r="AK54" s="31"/>
      <c r="AL54" s="31"/>
    </row>
    <row r="55" ht="12.75" hidden="1" customHeight="1">
      <c r="A55" s="170">
        <f t="shared" ref="A55:B55" si="25">+A54+1</f>
        <v>9</v>
      </c>
      <c r="B55" s="170">
        <f t="shared" si="25"/>
        <v>8.5</v>
      </c>
      <c r="C55" s="170">
        <v>1.0</v>
      </c>
      <c r="D55" s="95">
        <f t="shared" si="3"/>
        <v>135</v>
      </c>
      <c r="E55" s="193">
        <f t="shared" si="13"/>
        <v>0.6640625</v>
      </c>
      <c r="F55" s="131">
        <f t="shared" si="4"/>
        <v>0.6640625</v>
      </c>
      <c r="G55" s="101">
        <f t="shared" si="5"/>
        <v>35</v>
      </c>
      <c r="H55" s="194">
        <f t="shared" si="6"/>
        <v>0</v>
      </c>
      <c r="I55" s="91" t="str">
        <f t="shared" si="7"/>
        <v/>
      </c>
      <c r="J55" s="91" t="str">
        <f t="shared" si="8"/>
        <v/>
      </c>
      <c r="K55" s="91">
        <f t="shared" ref="K55:L55" si="26">IF($B55&gt;4*$E$36,H55,H55*(1/3+$B55/(2*$E$36)/3))</f>
        <v>0</v>
      </c>
      <c r="L55" s="91">
        <f t="shared" si="26"/>
        <v>0</v>
      </c>
      <c r="M55" s="91">
        <f t="shared" si="10"/>
        <v>3.690185202</v>
      </c>
      <c r="N55" s="91">
        <f t="shared" si="11"/>
        <v>7.351540833</v>
      </c>
      <c r="Q55" s="196"/>
      <c r="R55" s="197" t="s">
        <v>700</v>
      </c>
      <c r="S55" s="201">
        <v>115.0</v>
      </c>
      <c r="T55" s="201">
        <v>0.0</v>
      </c>
      <c r="U55" s="201">
        <v>30.0</v>
      </c>
      <c r="V55" s="201">
        <v>0.0</v>
      </c>
      <c r="AE55" s="31"/>
      <c r="AF55" s="31"/>
      <c r="AG55" s="31"/>
      <c r="AH55" s="31"/>
      <c r="AI55" s="31"/>
      <c r="AJ55" s="31"/>
      <c r="AK55" s="31"/>
      <c r="AL55" s="31"/>
    </row>
    <row r="56" ht="12.75" hidden="1" customHeight="1">
      <c r="A56" s="170">
        <f t="shared" ref="A56:B56" si="27">+A55+1</f>
        <v>10</v>
      </c>
      <c r="B56" s="170">
        <f t="shared" si="27"/>
        <v>9.5</v>
      </c>
      <c r="C56" s="170">
        <v>1.0</v>
      </c>
      <c r="D56" s="95">
        <f t="shared" si="3"/>
        <v>135</v>
      </c>
      <c r="E56" s="193">
        <f t="shared" si="13"/>
        <v>0.7421875</v>
      </c>
      <c r="F56" s="131">
        <f t="shared" si="4"/>
        <v>0.7421875</v>
      </c>
      <c r="G56" s="101">
        <f t="shared" si="5"/>
        <v>35</v>
      </c>
      <c r="H56" s="194">
        <f t="shared" si="6"/>
        <v>0</v>
      </c>
      <c r="I56" s="91" t="str">
        <f t="shared" si="7"/>
        <v/>
      </c>
      <c r="J56" s="91" t="str">
        <f t="shared" si="8"/>
        <v/>
      </c>
      <c r="K56" s="91">
        <f t="shared" ref="K56:L56" si="28">IF($B56&gt;4*$E$36,H56,H56*(1/3+$B56/(2*$E$36)/3))</f>
        <v>0</v>
      </c>
      <c r="L56" s="91">
        <f t="shared" si="28"/>
        <v>0</v>
      </c>
      <c r="M56" s="91">
        <f t="shared" si="10"/>
        <v>3.690185202</v>
      </c>
      <c r="N56" s="91">
        <f t="shared" si="11"/>
        <v>8.216427989</v>
      </c>
      <c r="Q56" s="196"/>
      <c r="R56" s="197" t="s">
        <v>701</v>
      </c>
      <c r="S56" s="201">
        <v>105.0</v>
      </c>
      <c r="T56" s="201">
        <v>0.0</v>
      </c>
      <c r="U56" s="201">
        <v>30.0</v>
      </c>
      <c r="V56" s="201">
        <v>0.0</v>
      </c>
      <c r="AE56" s="31"/>
      <c r="AF56" s="31"/>
      <c r="AG56" s="31"/>
      <c r="AH56" s="31"/>
      <c r="AI56" s="31"/>
      <c r="AJ56" s="31"/>
      <c r="AK56" s="31"/>
      <c r="AL56" s="31"/>
    </row>
    <row r="57" ht="12.75" hidden="1" customHeight="1">
      <c r="A57" s="170">
        <f t="shared" ref="A57:B57" si="29">+A56+1</f>
        <v>11</v>
      </c>
      <c r="B57" s="170">
        <f t="shared" si="29"/>
        <v>10.5</v>
      </c>
      <c r="C57" s="170">
        <v>1.0</v>
      </c>
      <c r="D57" s="95">
        <f t="shared" si="3"/>
        <v>135</v>
      </c>
      <c r="E57" s="193">
        <f t="shared" si="13"/>
        <v>0.8203125</v>
      </c>
      <c r="F57" s="131">
        <f t="shared" si="4"/>
        <v>0.8203125</v>
      </c>
      <c r="G57" s="101">
        <f t="shared" si="5"/>
        <v>35</v>
      </c>
      <c r="H57" s="194">
        <f t="shared" si="6"/>
        <v>0</v>
      </c>
      <c r="I57" s="91" t="str">
        <f t="shared" si="7"/>
        <v/>
      </c>
      <c r="J57" s="91" t="str">
        <f t="shared" si="8"/>
        <v/>
      </c>
      <c r="K57" s="91">
        <f t="shared" ref="K57:L57" si="30">IF($B57&gt;4*$E$36,H57,H57*(1/3+$B57/(2*$E$36)/3))</f>
        <v>0</v>
      </c>
      <c r="L57" s="91">
        <f t="shared" si="30"/>
        <v>0</v>
      </c>
      <c r="M57" s="91">
        <f t="shared" si="10"/>
        <v>3.690185202</v>
      </c>
      <c r="N57" s="91">
        <f t="shared" si="11"/>
        <v>9.081315146</v>
      </c>
      <c r="Q57" s="196"/>
      <c r="R57" s="197" t="s">
        <v>619</v>
      </c>
      <c r="S57" s="201">
        <v>105.0</v>
      </c>
      <c r="T57" s="201">
        <v>0.0</v>
      </c>
      <c r="U57" s="201">
        <v>30.0</v>
      </c>
      <c r="V57" s="201">
        <v>0.0</v>
      </c>
      <c r="AE57" s="31"/>
      <c r="AF57" s="31"/>
      <c r="AG57" s="31"/>
      <c r="AH57" s="31"/>
      <c r="AI57" s="31"/>
      <c r="AJ57" s="31"/>
      <c r="AK57" s="31"/>
      <c r="AL57" s="31"/>
    </row>
    <row r="58" ht="12.75" hidden="1" customHeight="1">
      <c r="A58" s="170">
        <f t="shared" ref="A58:B58" si="31">+A57+1</f>
        <v>12</v>
      </c>
      <c r="B58" s="170">
        <f t="shared" si="31"/>
        <v>11.5</v>
      </c>
      <c r="C58" s="170">
        <v>1.0</v>
      </c>
      <c r="D58" s="95">
        <f t="shared" si="3"/>
        <v>135</v>
      </c>
      <c r="E58" s="193">
        <f t="shared" si="13"/>
        <v>0.8984375</v>
      </c>
      <c r="F58" s="131">
        <f t="shared" si="4"/>
        <v>0.8984375</v>
      </c>
      <c r="G58" s="101">
        <f t="shared" si="5"/>
        <v>35</v>
      </c>
      <c r="H58" s="194">
        <f t="shared" si="6"/>
        <v>0</v>
      </c>
      <c r="I58" s="91" t="str">
        <f t="shared" si="7"/>
        <v/>
      </c>
      <c r="J58" s="91" t="str">
        <f t="shared" si="8"/>
        <v/>
      </c>
      <c r="K58" s="91">
        <f t="shared" ref="K58:L58" si="32">IF($B58&gt;4*$E$36,H58,H58*(1/3+$B58/(2*$E$36)/3))</f>
        <v>0</v>
      </c>
      <c r="L58" s="91">
        <f t="shared" si="32"/>
        <v>0</v>
      </c>
      <c r="M58" s="91">
        <f t="shared" si="10"/>
        <v>3.690185202</v>
      </c>
      <c r="N58" s="91">
        <f t="shared" si="11"/>
        <v>9.946202303</v>
      </c>
      <c r="Q58" s="196"/>
      <c r="R58" s="197" t="s">
        <v>702</v>
      </c>
      <c r="S58" s="201">
        <v>105.0</v>
      </c>
      <c r="T58" s="201">
        <v>0.0</v>
      </c>
      <c r="U58" s="201">
        <v>30.0</v>
      </c>
      <c r="V58" s="201">
        <v>0.0</v>
      </c>
    </row>
    <row r="59" ht="12.75" hidden="1" customHeight="1">
      <c r="A59" s="170">
        <f t="shared" ref="A59:B59" si="33">+A58+1</f>
        <v>13</v>
      </c>
      <c r="B59" s="170">
        <f t="shared" si="33"/>
        <v>12.5</v>
      </c>
      <c r="C59" s="170">
        <v>1.0</v>
      </c>
      <c r="D59" s="95">
        <f t="shared" si="3"/>
        <v>135</v>
      </c>
      <c r="E59" s="193">
        <f t="shared" si="13"/>
        <v>0.9765625</v>
      </c>
      <c r="F59" s="131">
        <f t="shared" si="4"/>
        <v>0.9765625</v>
      </c>
      <c r="G59" s="101">
        <f t="shared" si="5"/>
        <v>35</v>
      </c>
      <c r="H59" s="194">
        <f t="shared" si="6"/>
        <v>0</v>
      </c>
      <c r="I59" s="91" t="str">
        <f t="shared" si="7"/>
        <v/>
      </c>
      <c r="J59" s="91" t="str">
        <f t="shared" si="8"/>
        <v/>
      </c>
      <c r="K59" s="91">
        <f t="shared" ref="K59:L59" si="34">IF($B59&gt;4*$E$36,H59,H59*(1/3+$B59/(2*$E$36)/3))</f>
        <v>0</v>
      </c>
      <c r="L59" s="91">
        <f t="shared" si="34"/>
        <v>0</v>
      </c>
      <c r="M59" s="91">
        <f t="shared" si="10"/>
        <v>3.690185202</v>
      </c>
      <c r="N59" s="91">
        <f t="shared" si="11"/>
        <v>10.81108946</v>
      </c>
      <c r="Q59" s="196"/>
      <c r="R59" s="197" t="s">
        <v>703</v>
      </c>
      <c r="S59" s="201">
        <v>125.0</v>
      </c>
      <c r="T59" s="201">
        <v>0.0</v>
      </c>
      <c r="U59" s="201">
        <v>0.0</v>
      </c>
      <c r="V59" s="201">
        <v>3.5</v>
      </c>
    </row>
    <row r="60" ht="12.75" hidden="1" customHeight="1">
      <c r="A60" s="170">
        <f t="shared" ref="A60:B60" si="35">+A59+1</f>
        <v>14</v>
      </c>
      <c r="B60" s="170">
        <f t="shared" si="35"/>
        <v>13.5</v>
      </c>
      <c r="C60" s="170">
        <v>1.0</v>
      </c>
      <c r="D60" s="95">
        <f t="shared" si="3"/>
        <v>135</v>
      </c>
      <c r="E60" s="193">
        <f t="shared" si="13"/>
        <v>1.0546875</v>
      </c>
      <c r="F60" s="131">
        <f t="shared" si="4"/>
        <v>1.0546875</v>
      </c>
      <c r="G60" s="101">
        <f t="shared" si="5"/>
        <v>35</v>
      </c>
      <c r="H60" s="194">
        <f t="shared" si="6"/>
        <v>0</v>
      </c>
      <c r="I60" s="91" t="str">
        <f t="shared" si="7"/>
        <v/>
      </c>
      <c r="J60" s="91" t="str">
        <f t="shared" si="8"/>
        <v/>
      </c>
      <c r="K60" s="91">
        <f t="shared" ref="K60:L60" si="36">IF($B60&gt;4*$E$36,H60,H60*(1/3+$B60/(2*$E$36)/3))</f>
        <v>0</v>
      </c>
      <c r="L60" s="91">
        <f t="shared" si="36"/>
        <v>0</v>
      </c>
      <c r="M60" s="91">
        <f t="shared" si="10"/>
        <v>3.690185202</v>
      </c>
      <c r="N60" s="91">
        <f t="shared" si="11"/>
        <v>11.67597662</v>
      </c>
      <c r="O60" s="41"/>
      <c r="P60" s="41"/>
      <c r="Q60" s="196"/>
      <c r="R60" s="197" t="s">
        <v>704</v>
      </c>
      <c r="S60" s="202">
        <v>125.0</v>
      </c>
      <c r="T60" s="201">
        <v>0.0</v>
      </c>
      <c r="U60" s="201">
        <v>0.0</v>
      </c>
      <c r="V60" s="201">
        <v>3.5</v>
      </c>
      <c r="W60" s="41"/>
      <c r="X60" s="41"/>
      <c r="Y60" s="41"/>
      <c r="Z60" s="41"/>
      <c r="AA60" s="41"/>
      <c r="AB60" s="41"/>
      <c r="AC60" s="41"/>
      <c r="AD60" s="41"/>
      <c r="AE60" s="41"/>
      <c r="AF60" s="41"/>
      <c r="AG60" s="41"/>
      <c r="AH60" s="41"/>
      <c r="AI60" s="41"/>
      <c r="AJ60" s="41"/>
      <c r="AK60" s="41"/>
      <c r="AL60" s="41"/>
    </row>
    <row r="61" ht="12.75" hidden="1" customHeight="1">
      <c r="A61" s="170">
        <f t="shared" ref="A61:B61" si="37">+A60+1</f>
        <v>15</v>
      </c>
      <c r="B61" s="170">
        <f t="shared" si="37"/>
        <v>14.5</v>
      </c>
      <c r="C61" s="170">
        <v>1.0</v>
      </c>
      <c r="D61" s="95">
        <f t="shared" si="3"/>
        <v>135</v>
      </c>
      <c r="E61" s="193">
        <f t="shared" si="13"/>
        <v>1.1328125</v>
      </c>
      <c r="F61" s="131">
        <f t="shared" si="4"/>
        <v>1.1328125</v>
      </c>
      <c r="G61" s="101">
        <f t="shared" si="5"/>
        <v>35</v>
      </c>
      <c r="H61" s="194">
        <f t="shared" si="6"/>
        <v>0</v>
      </c>
      <c r="I61" s="91" t="str">
        <f t="shared" si="7"/>
        <v/>
      </c>
      <c r="J61" s="91" t="str">
        <f t="shared" si="8"/>
        <v/>
      </c>
      <c r="K61" s="91">
        <f t="shared" ref="K61:L61" si="38">IF($B61&gt;4*$E$36,H61,H61*(1/3+$B61/(2*$E$36)/3))</f>
        <v>0</v>
      </c>
      <c r="L61" s="91">
        <f t="shared" si="38"/>
        <v>0</v>
      </c>
      <c r="M61" s="91">
        <f t="shared" si="10"/>
        <v>3.690185202</v>
      </c>
      <c r="N61" s="91">
        <f t="shared" si="11"/>
        <v>12.54086377</v>
      </c>
      <c r="Q61" s="196"/>
      <c r="R61" s="197" t="s">
        <v>705</v>
      </c>
      <c r="S61" s="202">
        <v>125.0</v>
      </c>
      <c r="T61" s="201">
        <v>0.0</v>
      </c>
      <c r="U61" s="201">
        <v>0.0</v>
      </c>
      <c r="V61" s="201">
        <v>3.5</v>
      </c>
    </row>
    <row r="62" ht="12.75" hidden="1" customHeight="1">
      <c r="A62" s="170">
        <f t="shared" ref="A62:B62" si="39">+A61+1</f>
        <v>16</v>
      </c>
      <c r="B62" s="170">
        <f t="shared" si="39"/>
        <v>15.5</v>
      </c>
      <c r="C62" s="170">
        <v>1.0</v>
      </c>
      <c r="D62" s="95">
        <f t="shared" si="3"/>
        <v>135</v>
      </c>
      <c r="E62" s="193">
        <f t="shared" si="13"/>
        <v>1.2109375</v>
      </c>
      <c r="F62" s="131">
        <f t="shared" si="4"/>
        <v>1.2109375</v>
      </c>
      <c r="G62" s="101">
        <f t="shared" si="5"/>
        <v>35</v>
      </c>
      <c r="H62" s="194">
        <f t="shared" si="6"/>
        <v>0</v>
      </c>
      <c r="I62" s="91" t="str">
        <f t="shared" si="7"/>
        <v/>
      </c>
      <c r="J62" s="91" t="str">
        <f t="shared" si="8"/>
        <v/>
      </c>
      <c r="K62" s="91">
        <f t="shared" ref="K62:L62" si="40">IF($B62&gt;4*$E$36,H62,H62*(1/3+$B62/(2*$E$36)/3))</f>
        <v>0</v>
      </c>
      <c r="L62" s="91">
        <f t="shared" si="40"/>
        <v>0</v>
      </c>
      <c r="M62" s="91">
        <f t="shared" si="10"/>
        <v>3.690185202</v>
      </c>
      <c r="N62" s="91">
        <f t="shared" si="11"/>
        <v>13.40575093</v>
      </c>
      <c r="Q62" s="196"/>
      <c r="R62" s="197" t="s">
        <v>706</v>
      </c>
      <c r="S62" s="202">
        <v>125.0</v>
      </c>
      <c r="T62" s="201">
        <v>0.0</v>
      </c>
      <c r="U62" s="201">
        <v>0.0</v>
      </c>
      <c r="V62" s="201">
        <v>3.5</v>
      </c>
    </row>
    <row r="63" ht="12.75" hidden="1" customHeight="1">
      <c r="A63" s="170">
        <f t="shared" ref="A63:B63" si="41">+A62+1</f>
        <v>17</v>
      </c>
      <c r="B63" s="170">
        <f t="shared" si="41"/>
        <v>16.5</v>
      </c>
      <c r="C63" s="170">
        <v>1.0</v>
      </c>
      <c r="D63" s="95">
        <f t="shared" si="3"/>
        <v>135</v>
      </c>
      <c r="E63" s="193">
        <f t="shared" si="13"/>
        <v>1.2890625</v>
      </c>
      <c r="F63" s="131">
        <f t="shared" si="4"/>
        <v>1.2890625</v>
      </c>
      <c r="G63" s="101">
        <f t="shared" si="5"/>
        <v>35</v>
      </c>
      <c r="H63" s="194">
        <f t="shared" si="6"/>
        <v>0</v>
      </c>
      <c r="I63" s="91" t="str">
        <f t="shared" si="7"/>
        <v/>
      </c>
      <c r="J63" s="91" t="str">
        <f t="shared" si="8"/>
        <v/>
      </c>
      <c r="K63" s="91">
        <f t="shared" ref="K63:L63" si="42">IF($B63&gt;4*$E$36,H63,H63*(1/3+$B63/(2*$E$36)/3))</f>
        <v>0</v>
      </c>
      <c r="L63" s="91">
        <f t="shared" si="42"/>
        <v>0</v>
      </c>
      <c r="M63" s="91">
        <f t="shared" si="10"/>
        <v>3.690185202</v>
      </c>
      <c r="N63" s="91">
        <f t="shared" si="11"/>
        <v>14.27063809</v>
      </c>
      <c r="R63" s="197" t="s">
        <v>707</v>
      </c>
      <c r="S63" s="202">
        <v>125.0</v>
      </c>
      <c r="T63" s="201">
        <v>0.0</v>
      </c>
      <c r="U63" s="201">
        <v>0.0</v>
      </c>
      <c r="V63" s="201">
        <v>3.5</v>
      </c>
    </row>
    <row r="64" ht="12.75" hidden="1" customHeight="1">
      <c r="A64" s="170">
        <f t="shared" ref="A64:B64" si="43">+A63+1</f>
        <v>18</v>
      </c>
      <c r="B64" s="170">
        <f t="shared" si="43"/>
        <v>17.5</v>
      </c>
      <c r="C64" s="170">
        <v>1.0</v>
      </c>
      <c r="D64" s="95">
        <f t="shared" si="3"/>
        <v>135</v>
      </c>
      <c r="E64" s="193">
        <f t="shared" si="13"/>
        <v>1.3671875</v>
      </c>
      <c r="F64" s="131">
        <f t="shared" si="4"/>
        <v>1.3671875</v>
      </c>
      <c r="G64" s="101">
        <f t="shared" si="5"/>
        <v>35</v>
      </c>
      <c r="H64" s="194">
        <f t="shared" si="6"/>
        <v>0</v>
      </c>
      <c r="I64" s="91" t="str">
        <f t="shared" si="7"/>
        <v/>
      </c>
      <c r="J64" s="91" t="str">
        <f t="shared" si="8"/>
        <v/>
      </c>
      <c r="K64" s="91">
        <f t="shared" ref="K64:L64" si="44">IF($B64&gt;4*$E$36,H64,H64*(1/3+$B64/(2*$E$36)/3))</f>
        <v>0</v>
      </c>
      <c r="L64" s="91">
        <f t="shared" si="44"/>
        <v>0</v>
      </c>
      <c r="M64" s="91">
        <f t="shared" si="10"/>
        <v>3.690185202</v>
      </c>
      <c r="N64" s="91">
        <f t="shared" si="11"/>
        <v>15.13552524</v>
      </c>
    </row>
    <row r="65" ht="12.75" hidden="1" customHeight="1">
      <c r="A65" s="170">
        <f t="shared" ref="A65:B65" si="45">+A64+1</f>
        <v>19</v>
      </c>
      <c r="B65" s="170">
        <f t="shared" si="45"/>
        <v>18.5</v>
      </c>
      <c r="C65" s="170">
        <v>1.0</v>
      </c>
      <c r="D65" s="95">
        <f t="shared" si="3"/>
        <v>135</v>
      </c>
      <c r="E65" s="193">
        <f t="shared" si="13"/>
        <v>1.4453125</v>
      </c>
      <c r="F65" s="131">
        <f t="shared" si="4"/>
        <v>1.4453125</v>
      </c>
      <c r="G65" s="101">
        <f t="shared" si="5"/>
        <v>35</v>
      </c>
      <c r="H65" s="194">
        <f t="shared" si="6"/>
        <v>0</v>
      </c>
      <c r="I65" s="91" t="str">
        <f t="shared" si="7"/>
        <v/>
      </c>
      <c r="J65" s="91" t="str">
        <f t="shared" si="8"/>
        <v/>
      </c>
      <c r="K65" s="91">
        <f t="shared" ref="K65:L65" si="46">IF($B65&gt;4*$E$36,H65,H65*(1/3+$B65/(2*$E$36)/3))</f>
        <v>0</v>
      </c>
      <c r="L65" s="91" t="str">
        <f t="shared" si="46"/>
        <v/>
      </c>
      <c r="M65" s="91">
        <f t="shared" si="10"/>
        <v>3.690185202</v>
      </c>
      <c r="N65" s="91">
        <f t="shared" si="11"/>
        <v>16.0004124</v>
      </c>
    </row>
    <row r="66" ht="12.75" hidden="1" customHeight="1">
      <c r="A66" s="170">
        <f t="shared" ref="A66:B66" si="47">+A65+1</f>
        <v>20</v>
      </c>
      <c r="B66" s="170">
        <f t="shared" si="47"/>
        <v>19.5</v>
      </c>
      <c r="C66" s="170">
        <v>1.0</v>
      </c>
      <c r="D66" s="95">
        <f t="shared" si="3"/>
        <v>135</v>
      </c>
      <c r="E66" s="193">
        <f t="shared" si="13"/>
        <v>1.5234375</v>
      </c>
      <c r="F66" s="131">
        <f t="shared" si="4"/>
        <v>1.5234375</v>
      </c>
      <c r="G66" s="101">
        <f t="shared" si="5"/>
        <v>35</v>
      </c>
      <c r="H66" s="194">
        <f t="shared" si="6"/>
        <v>0</v>
      </c>
      <c r="I66" s="91" t="str">
        <f t="shared" si="7"/>
        <v/>
      </c>
      <c r="J66" s="91" t="str">
        <f t="shared" si="8"/>
        <v/>
      </c>
      <c r="K66" s="91">
        <f t="shared" ref="K66:L66" si="48">IF($B66&gt;4*$E$36,H66,H66*(1/3+$B66/(2*$E$36)/3))</f>
        <v>0</v>
      </c>
      <c r="L66" s="91" t="str">
        <f t="shared" si="48"/>
        <v/>
      </c>
      <c r="M66" s="91">
        <f t="shared" si="10"/>
        <v>3.690185202</v>
      </c>
      <c r="N66" s="91">
        <f t="shared" si="11"/>
        <v>16.86529956</v>
      </c>
    </row>
    <row r="67" ht="12.75" hidden="1" customHeight="1">
      <c r="A67" s="170">
        <f t="shared" ref="A67:B67" si="49">+A66+1</f>
        <v>21</v>
      </c>
      <c r="B67" s="170">
        <f t="shared" si="49"/>
        <v>20.5</v>
      </c>
      <c r="C67" s="170">
        <v>1.0</v>
      </c>
      <c r="D67" s="95">
        <f t="shared" si="3"/>
        <v>135</v>
      </c>
      <c r="E67" s="193">
        <f t="shared" si="13"/>
        <v>1.6015625</v>
      </c>
      <c r="F67" s="131">
        <f t="shared" si="4"/>
        <v>1.6015625</v>
      </c>
      <c r="G67" s="101">
        <f t="shared" si="5"/>
        <v>35</v>
      </c>
      <c r="H67" s="194">
        <f t="shared" si="6"/>
        <v>0</v>
      </c>
      <c r="I67" s="91" t="str">
        <f t="shared" si="7"/>
        <v/>
      </c>
      <c r="J67" s="91" t="str">
        <f t="shared" si="8"/>
        <v/>
      </c>
      <c r="K67" s="91">
        <f t="shared" ref="K67:L67" si="50">IF($B67&gt;4*$E$36,H67,H67*(1/3+$B67/(2*$E$36)/3))</f>
        <v>0</v>
      </c>
      <c r="L67" s="91" t="str">
        <f t="shared" si="50"/>
        <v/>
      </c>
      <c r="M67" s="91">
        <f t="shared" si="10"/>
        <v>3.690185202</v>
      </c>
      <c r="N67" s="91">
        <f t="shared" si="11"/>
        <v>17.73018671</v>
      </c>
    </row>
    <row r="68" ht="12.75" hidden="1" customHeight="1">
      <c r="A68" s="170">
        <f t="shared" ref="A68:B68" si="51">+A67+1</f>
        <v>22</v>
      </c>
      <c r="B68" s="170">
        <f t="shared" si="51"/>
        <v>21.5</v>
      </c>
      <c r="C68" s="170">
        <v>1.0</v>
      </c>
      <c r="D68" s="95">
        <f t="shared" si="3"/>
        <v>135</v>
      </c>
      <c r="E68" s="193">
        <f t="shared" si="13"/>
        <v>1.6796875</v>
      </c>
      <c r="F68" s="131">
        <f t="shared" si="4"/>
        <v>1.6796875</v>
      </c>
      <c r="G68" s="101">
        <f t="shared" si="5"/>
        <v>35</v>
      </c>
      <c r="H68" s="194">
        <f t="shared" si="6"/>
        <v>0</v>
      </c>
      <c r="I68" s="91" t="str">
        <f t="shared" si="7"/>
        <v/>
      </c>
      <c r="J68" s="91" t="str">
        <f t="shared" si="8"/>
        <v/>
      </c>
      <c r="K68" s="91">
        <f t="shared" ref="K68:L68" si="52">IF($B68&gt;4*$E$36,H68,H68*(1/3+$B68/(2*$E$36)/3))</f>
        <v>0</v>
      </c>
      <c r="L68" s="91" t="str">
        <f t="shared" si="52"/>
        <v/>
      </c>
      <c r="M68" s="91">
        <f t="shared" si="10"/>
        <v>3.690185202</v>
      </c>
      <c r="N68" s="91">
        <f t="shared" si="11"/>
        <v>18.59507387</v>
      </c>
    </row>
    <row r="69" ht="12.75" hidden="1" customHeight="1">
      <c r="A69" s="170">
        <f t="shared" ref="A69:B69" si="53">+A68+1</f>
        <v>23</v>
      </c>
      <c r="B69" s="170">
        <f t="shared" si="53"/>
        <v>22.5</v>
      </c>
      <c r="C69" s="170">
        <v>1.0</v>
      </c>
      <c r="D69" s="95">
        <f t="shared" si="3"/>
        <v>135</v>
      </c>
      <c r="E69" s="193">
        <f t="shared" si="13"/>
        <v>1.7578125</v>
      </c>
      <c r="F69" s="131">
        <f t="shared" si="4"/>
        <v>1.7578125</v>
      </c>
      <c r="G69" s="101">
        <f t="shared" si="5"/>
        <v>35</v>
      </c>
      <c r="H69" s="194">
        <f t="shared" si="6"/>
        <v>0</v>
      </c>
      <c r="I69" s="91" t="str">
        <f t="shared" si="7"/>
        <v/>
      </c>
      <c r="J69" s="91" t="str">
        <f t="shared" si="8"/>
        <v/>
      </c>
      <c r="K69" s="91">
        <f t="shared" ref="K69:L69" si="54">IF($B69&gt;4*$E$36,H69,H69*(1/3+$B69/(2*$E$36)/3))</f>
        <v>0</v>
      </c>
      <c r="L69" s="91" t="str">
        <f t="shared" si="54"/>
        <v/>
      </c>
      <c r="M69" s="91">
        <f t="shared" si="10"/>
        <v>3.690185202</v>
      </c>
      <c r="N69" s="91">
        <f t="shared" si="11"/>
        <v>19.45996103</v>
      </c>
    </row>
    <row r="70" ht="12.75" hidden="1" customHeight="1">
      <c r="A70" s="170">
        <f t="shared" ref="A70:B70" si="55">+A69+1</f>
        <v>24</v>
      </c>
      <c r="B70" s="170">
        <f t="shared" si="55"/>
        <v>23.5</v>
      </c>
      <c r="C70" s="170">
        <v>1.0</v>
      </c>
      <c r="D70" s="95">
        <f t="shared" si="3"/>
        <v>135</v>
      </c>
      <c r="E70" s="193">
        <f t="shared" si="13"/>
        <v>1.8359375</v>
      </c>
      <c r="F70" s="131">
        <f t="shared" si="4"/>
        <v>1.8359375</v>
      </c>
      <c r="G70" s="101">
        <f t="shared" si="5"/>
        <v>35</v>
      </c>
      <c r="H70" s="194">
        <f t="shared" si="6"/>
        <v>0</v>
      </c>
      <c r="I70" s="91" t="str">
        <f t="shared" si="7"/>
        <v/>
      </c>
      <c r="J70" s="91" t="str">
        <f t="shared" si="8"/>
        <v/>
      </c>
      <c r="K70" s="91">
        <f t="shared" ref="K70:L70" si="56">IF($B70&gt;4*$E$36,H70,H70*(1/3+$B70/(2*$E$36)/3))</f>
        <v>0</v>
      </c>
      <c r="L70" s="91" t="str">
        <f t="shared" si="56"/>
        <v/>
      </c>
      <c r="M70" s="91">
        <f t="shared" si="10"/>
        <v>3.690185202</v>
      </c>
      <c r="N70" s="91">
        <f t="shared" si="11"/>
        <v>20.32484818</v>
      </c>
    </row>
    <row r="71" ht="12.75" hidden="1" customHeight="1">
      <c r="A71" s="170">
        <f t="shared" ref="A71:B71" si="57">+A70+1</f>
        <v>25</v>
      </c>
      <c r="B71" s="170">
        <f t="shared" si="57"/>
        <v>24.5</v>
      </c>
      <c r="C71" s="170">
        <v>1.0</v>
      </c>
      <c r="D71" s="95">
        <f t="shared" si="3"/>
        <v>105</v>
      </c>
      <c r="E71" s="193">
        <f t="shared" si="13"/>
        <v>1.905381944</v>
      </c>
      <c r="F71" s="131">
        <f t="shared" si="4"/>
        <v>1.905381944</v>
      </c>
      <c r="G71" s="101">
        <f t="shared" si="5"/>
        <v>30</v>
      </c>
      <c r="H71" s="194">
        <f t="shared" si="6"/>
        <v>0</v>
      </c>
      <c r="I71" s="91" t="str">
        <f t="shared" si="7"/>
        <v/>
      </c>
      <c r="J71" s="91" t="str">
        <f t="shared" si="8"/>
        <v/>
      </c>
      <c r="K71" s="91">
        <f t="shared" ref="K71:L71" si="58">IF($B71&gt;4*$E$36,H71,H71*(1/3+$B71/(2*$E$36)/3))</f>
        <v>0</v>
      </c>
      <c r="L71" s="91" t="str">
        <f t="shared" si="58"/>
        <v/>
      </c>
      <c r="M71" s="91">
        <f t="shared" si="10"/>
        <v>3.000008483</v>
      </c>
      <c r="N71" s="91">
        <f t="shared" si="11"/>
        <v>17.14848599</v>
      </c>
    </row>
    <row r="72" ht="12.75" hidden="1" customHeight="1">
      <c r="A72" s="170">
        <f t="shared" ref="A72:B72" si="59">+A71+1</f>
        <v>26</v>
      </c>
      <c r="B72" s="170">
        <f t="shared" si="59"/>
        <v>25.5</v>
      </c>
      <c r="C72" s="170">
        <v>1.0</v>
      </c>
      <c r="D72" s="95">
        <f t="shared" si="3"/>
        <v>105</v>
      </c>
      <c r="E72" s="193">
        <f t="shared" si="13"/>
        <v>1.966145833</v>
      </c>
      <c r="F72" s="131">
        <f t="shared" si="4"/>
        <v>1.966145833</v>
      </c>
      <c r="G72" s="101">
        <f t="shared" si="5"/>
        <v>30</v>
      </c>
      <c r="H72" s="194">
        <f t="shared" si="6"/>
        <v>0</v>
      </c>
      <c r="I72" s="91" t="str">
        <f t="shared" si="7"/>
        <v/>
      </c>
      <c r="J72" s="91" t="str">
        <f t="shared" si="8"/>
        <v/>
      </c>
      <c r="K72" s="91">
        <f t="shared" ref="K72:L72" si="60">IF($B72&gt;4*$E$36,H72,H72*(1/3+$B72/(2*$E$36)/3))</f>
        <v>0</v>
      </c>
      <c r="L72" s="91" t="str">
        <f t="shared" si="60"/>
        <v/>
      </c>
      <c r="M72" s="91">
        <f t="shared" si="10"/>
        <v>3.000008483</v>
      </c>
      <c r="N72" s="91">
        <f t="shared" si="11"/>
        <v>17.69536254</v>
      </c>
    </row>
    <row r="73" ht="12.75" hidden="1" customHeight="1">
      <c r="A73" s="170">
        <f t="shared" ref="A73:B73" si="61">+A72+1</f>
        <v>27</v>
      </c>
      <c r="B73" s="170">
        <f t="shared" si="61"/>
        <v>26.5</v>
      </c>
      <c r="C73" s="170">
        <v>1.0</v>
      </c>
      <c r="D73" s="95">
        <f t="shared" si="3"/>
        <v>105</v>
      </c>
      <c r="E73" s="193">
        <f t="shared" si="13"/>
        <v>2.026909722</v>
      </c>
      <c r="F73" s="131">
        <f t="shared" si="4"/>
        <v>2.026909722</v>
      </c>
      <c r="G73" s="101">
        <f t="shared" si="5"/>
        <v>30</v>
      </c>
      <c r="H73" s="194">
        <f t="shared" si="6"/>
        <v>0</v>
      </c>
      <c r="I73" s="91" t="str">
        <f t="shared" si="7"/>
        <v/>
      </c>
      <c r="J73" s="91" t="str">
        <f t="shared" si="8"/>
        <v/>
      </c>
      <c r="K73" s="91">
        <f t="shared" ref="K73:L73" si="62">IF($B73&gt;4*$E$36,H73,H73*(1/3+$B73/(2*$E$36)/3))</f>
        <v>0</v>
      </c>
      <c r="L73" s="91" t="str">
        <f t="shared" si="62"/>
        <v/>
      </c>
      <c r="M73" s="91">
        <f t="shared" si="10"/>
        <v>3.000008483</v>
      </c>
      <c r="N73" s="91">
        <f t="shared" si="11"/>
        <v>18.24223908</v>
      </c>
    </row>
    <row r="74" ht="12.75" hidden="1" customHeight="1">
      <c r="A74" s="170">
        <f t="shared" ref="A74:B74" si="63">+A73+1</f>
        <v>28</v>
      </c>
      <c r="B74" s="170">
        <f t="shared" si="63"/>
        <v>27.5</v>
      </c>
      <c r="C74" s="170">
        <v>1.0</v>
      </c>
      <c r="D74" s="95">
        <f t="shared" si="3"/>
        <v>105</v>
      </c>
      <c r="E74" s="193">
        <f t="shared" si="13"/>
        <v>2.087673611</v>
      </c>
      <c r="F74" s="131">
        <f t="shared" si="4"/>
        <v>2.087673611</v>
      </c>
      <c r="G74" s="101">
        <f t="shared" si="5"/>
        <v>30</v>
      </c>
      <c r="H74" s="194">
        <f t="shared" si="6"/>
        <v>0</v>
      </c>
      <c r="I74" s="91" t="str">
        <f t="shared" si="7"/>
        <v/>
      </c>
      <c r="J74" s="91" t="str">
        <f t="shared" si="8"/>
        <v/>
      </c>
      <c r="K74" s="91">
        <f t="shared" ref="K74:L74" si="64">IF($B74&gt;4*$E$36,H74,H74*(1/3+$B74/(2*$E$36)/3))</f>
        <v>0</v>
      </c>
      <c r="L74" s="91" t="str">
        <f t="shared" si="64"/>
        <v/>
      </c>
      <c r="M74" s="91">
        <f t="shared" si="10"/>
        <v>3.000008483</v>
      </c>
      <c r="N74" s="91">
        <f t="shared" si="11"/>
        <v>18.78911563</v>
      </c>
    </row>
    <row r="75" ht="12.75" hidden="1" customHeight="1">
      <c r="A75" s="170">
        <f t="shared" ref="A75:B75" si="65">+A74+1</f>
        <v>29</v>
      </c>
      <c r="B75" s="170">
        <f t="shared" si="65"/>
        <v>28.5</v>
      </c>
      <c r="C75" s="170">
        <v>1.0</v>
      </c>
      <c r="D75" s="95">
        <f t="shared" si="3"/>
        <v>105</v>
      </c>
      <c r="E75" s="193">
        <f t="shared" si="13"/>
        <v>2.1484375</v>
      </c>
      <c r="F75" s="131">
        <f t="shared" si="4"/>
        <v>2.1484375</v>
      </c>
      <c r="G75" s="101">
        <f t="shared" si="5"/>
        <v>30</v>
      </c>
      <c r="H75" s="194">
        <f t="shared" si="6"/>
        <v>0</v>
      </c>
      <c r="I75" s="91" t="str">
        <f t="shared" si="7"/>
        <v/>
      </c>
      <c r="J75" s="91" t="str">
        <f t="shared" si="8"/>
        <v/>
      </c>
      <c r="K75" s="91">
        <f t="shared" ref="K75:L75" si="66">IF($B75&gt;4*$E$36,H75,H75*(1/3+$B75/(2*$E$36)/3))</f>
        <v>0</v>
      </c>
      <c r="L75" s="91" t="str">
        <f t="shared" si="66"/>
        <v/>
      </c>
      <c r="M75" s="91">
        <f t="shared" si="10"/>
        <v>3.000008483</v>
      </c>
      <c r="N75" s="91">
        <f t="shared" si="11"/>
        <v>19.33599218</v>
      </c>
    </row>
    <row r="76" ht="12.75" hidden="1" customHeight="1">
      <c r="A76" s="170">
        <f t="shared" ref="A76:B76" si="67">+A75+1</f>
        <v>30</v>
      </c>
      <c r="B76" s="170">
        <f t="shared" si="67"/>
        <v>29.5</v>
      </c>
      <c r="C76" s="170">
        <v>1.0</v>
      </c>
      <c r="D76" s="95">
        <f t="shared" si="3"/>
        <v>105</v>
      </c>
      <c r="E76" s="193">
        <f t="shared" si="13"/>
        <v>2.209201389</v>
      </c>
      <c r="F76" s="131">
        <f t="shared" si="4"/>
        <v>2.209201389</v>
      </c>
      <c r="G76" s="101">
        <f t="shared" si="5"/>
        <v>30</v>
      </c>
      <c r="H76" s="194">
        <f t="shared" si="6"/>
        <v>0</v>
      </c>
      <c r="I76" s="91" t="str">
        <f t="shared" si="7"/>
        <v/>
      </c>
      <c r="J76" s="91" t="str">
        <f t="shared" si="8"/>
        <v/>
      </c>
      <c r="K76" s="91">
        <f t="shared" ref="K76:L76" si="68">IF($B76&gt;4*$E$36,H76,H76*(1/3+$B76/(2*$E$36)/3))</f>
        <v>0</v>
      </c>
      <c r="L76" s="91" t="str">
        <f t="shared" si="68"/>
        <v/>
      </c>
      <c r="M76" s="91">
        <f t="shared" si="10"/>
        <v>3.000008483</v>
      </c>
      <c r="N76" s="91">
        <f t="shared" si="11"/>
        <v>19.88286872</v>
      </c>
    </row>
    <row r="77" ht="12.75" hidden="1" customHeight="1">
      <c r="A77" s="170">
        <f t="shared" ref="A77:B77" si="69">+A76+1</f>
        <v>31</v>
      </c>
      <c r="B77" s="170">
        <f t="shared" si="69"/>
        <v>30.5</v>
      </c>
      <c r="C77" s="170">
        <v>1.0</v>
      </c>
      <c r="D77" s="95">
        <f t="shared" si="3"/>
        <v>105</v>
      </c>
      <c r="E77" s="193">
        <f t="shared" si="13"/>
        <v>2.269965278</v>
      </c>
      <c r="F77" s="131">
        <f t="shared" si="4"/>
        <v>2.269965278</v>
      </c>
      <c r="G77" s="101">
        <f t="shared" si="5"/>
        <v>30</v>
      </c>
      <c r="H77" s="194">
        <f t="shared" si="6"/>
        <v>0</v>
      </c>
      <c r="I77" s="91" t="str">
        <f t="shared" si="7"/>
        <v/>
      </c>
      <c r="J77" s="91" t="str">
        <f t="shared" si="8"/>
        <v/>
      </c>
      <c r="K77" s="91">
        <f t="shared" ref="K77:L77" si="70">IF($B77&gt;4*$E$36,H77,H77*(1/3+$B77/(2*$E$36)/3))</f>
        <v>0</v>
      </c>
      <c r="L77" s="91" t="str">
        <f t="shared" si="70"/>
        <v/>
      </c>
      <c r="M77" s="91">
        <f t="shared" si="10"/>
        <v>3.000008483</v>
      </c>
      <c r="N77" s="91">
        <f t="shared" si="11"/>
        <v>20.42974527</v>
      </c>
    </row>
    <row r="78" ht="12.75" hidden="1" customHeight="1">
      <c r="A78" s="170">
        <f t="shared" ref="A78:B78" si="71">+A77+1</f>
        <v>32</v>
      </c>
      <c r="B78" s="170">
        <f t="shared" si="71"/>
        <v>31.5</v>
      </c>
      <c r="C78" s="170">
        <v>1.0</v>
      </c>
      <c r="D78" s="95">
        <f t="shared" si="3"/>
        <v>105</v>
      </c>
      <c r="E78" s="193">
        <f t="shared" si="13"/>
        <v>2.330729167</v>
      </c>
      <c r="F78" s="131">
        <f t="shared" si="4"/>
        <v>2.330729167</v>
      </c>
      <c r="G78" s="101">
        <f t="shared" si="5"/>
        <v>30</v>
      </c>
      <c r="H78" s="194">
        <f t="shared" si="6"/>
        <v>0</v>
      </c>
      <c r="I78" s="91" t="str">
        <f t="shared" si="7"/>
        <v/>
      </c>
      <c r="J78" s="91" t="str">
        <f t="shared" si="8"/>
        <v/>
      </c>
      <c r="K78" s="91">
        <f t="shared" ref="K78:L78" si="72">IF($B78&gt;4*$E$36,H78,H78*(1/3+$B78/(2*$E$36)/3))</f>
        <v>0</v>
      </c>
      <c r="L78" s="91" t="str">
        <f t="shared" si="72"/>
        <v/>
      </c>
      <c r="M78" s="91">
        <f t="shared" si="10"/>
        <v>3.000008483</v>
      </c>
      <c r="N78" s="91">
        <f t="shared" si="11"/>
        <v>20.97662181</v>
      </c>
    </row>
    <row r="79" ht="12.75" hidden="1" customHeight="1">
      <c r="A79" s="170">
        <f t="shared" ref="A79:B79" si="73">+A78+1</f>
        <v>33</v>
      </c>
      <c r="B79" s="170">
        <f t="shared" si="73"/>
        <v>32.5</v>
      </c>
      <c r="C79" s="170">
        <v>1.0</v>
      </c>
      <c r="D79" s="95">
        <f t="shared" si="3"/>
        <v>105</v>
      </c>
      <c r="E79" s="193">
        <f t="shared" si="13"/>
        <v>2.391493056</v>
      </c>
      <c r="F79" s="131">
        <f t="shared" si="4"/>
        <v>2.391493056</v>
      </c>
      <c r="G79" s="101">
        <f t="shared" si="5"/>
        <v>30</v>
      </c>
      <c r="H79" s="194">
        <f t="shared" si="6"/>
        <v>0</v>
      </c>
      <c r="I79" s="91" t="str">
        <f t="shared" si="7"/>
        <v/>
      </c>
      <c r="J79" s="91" t="str">
        <f t="shared" si="8"/>
        <v/>
      </c>
      <c r="K79" s="91">
        <f t="shared" ref="K79:L79" si="74">IF($B79&gt;4*$E$36,H79,H79*(1/3+$B79/(2*$E$36)/3))</f>
        <v>0</v>
      </c>
      <c r="L79" s="91" t="str">
        <f t="shared" si="74"/>
        <v/>
      </c>
      <c r="M79" s="91">
        <f t="shared" si="10"/>
        <v>3.000008483</v>
      </c>
      <c r="N79" s="91">
        <f t="shared" si="11"/>
        <v>21.52349836</v>
      </c>
    </row>
    <row r="80" ht="12.75" hidden="1" customHeight="1">
      <c r="A80" s="170">
        <f t="shared" ref="A80:B80" si="75">+A79+1</f>
        <v>34</v>
      </c>
      <c r="B80" s="170">
        <f t="shared" si="75"/>
        <v>33.5</v>
      </c>
      <c r="C80" s="170">
        <v>1.0</v>
      </c>
      <c r="D80" s="95">
        <f t="shared" si="3"/>
        <v>105</v>
      </c>
      <c r="E80" s="193">
        <f t="shared" si="13"/>
        <v>2.452256944</v>
      </c>
      <c r="F80" s="131">
        <f t="shared" si="4"/>
        <v>2.452256944</v>
      </c>
      <c r="G80" s="101">
        <f t="shared" si="5"/>
        <v>30</v>
      </c>
      <c r="H80" s="194">
        <f t="shared" si="6"/>
        <v>0</v>
      </c>
      <c r="I80" s="91" t="str">
        <f t="shared" si="7"/>
        <v/>
      </c>
      <c r="J80" s="91" t="str">
        <f t="shared" si="8"/>
        <v/>
      </c>
      <c r="K80" s="91">
        <f t="shared" ref="K80:L80" si="76">IF($B80&gt;4*$E$36,H80,H80*(1/3+$B80/(2*$E$36)/3))</f>
        <v>0</v>
      </c>
      <c r="L80" s="91" t="str">
        <f t="shared" si="76"/>
        <v/>
      </c>
      <c r="M80" s="91">
        <f t="shared" si="10"/>
        <v>3.000008483</v>
      </c>
      <c r="N80" s="91">
        <f t="shared" si="11"/>
        <v>22.07037491</v>
      </c>
    </row>
    <row r="81" ht="12.75" hidden="1" customHeight="1">
      <c r="A81" s="170">
        <f t="shared" ref="A81:B81" si="77">+A80+1</f>
        <v>35</v>
      </c>
      <c r="B81" s="170">
        <f t="shared" si="77"/>
        <v>34.5</v>
      </c>
      <c r="C81" s="170">
        <v>1.0</v>
      </c>
      <c r="D81" s="95">
        <f t="shared" si="3"/>
        <v>105</v>
      </c>
      <c r="E81" s="193">
        <f t="shared" si="13"/>
        <v>2.513020833</v>
      </c>
      <c r="F81" s="131">
        <f t="shared" si="4"/>
        <v>2.513020833</v>
      </c>
      <c r="G81" s="101">
        <f t="shared" si="5"/>
        <v>30</v>
      </c>
      <c r="H81" s="194">
        <f t="shared" si="6"/>
        <v>0</v>
      </c>
      <c r="I81" s="91" t="str">
        <f t="shared" si="7"/>
        <v/>
      </c>
      <c r="J81" s="91" t="str">
        <f t="shared" si="8"/>
        <v/>
      </c>
      <c r="K81" s="91">
        <f t="shared" ref="K81:L81" si="78">IF($B81&gt;4*$E$36,H81,H81*(1/3+$B81/(2*$E$36)/3))</f>
        <v>0</v>
      </c>
      <c r="L81" s="91" t="str">
        <f t="shared" si="78"/>
        <v/>
      </c>
      <c r="M81" s="91">
        <f t="shared" si="10"/>
        <v>3.000008483</v>
      </c>
      <c r="N81" s="91">
        <f t="shared" si="11"/>
        <v>22.61725145</v>
      </c>
    </row>
    <row r="82" ht="12.75" hidden="1" customHeight="1">
      <c r="A82" s="170">
        <f t="shared" ref="A82:B82" si="79">+A81+1</f>
        <v>36</v>
      </c>
      <c r="B82" s="170">
        <f t="shared" si="79"/>
        <v>35.5</v>
      </c>
      <c r="C82" s="170">
        <v>1.0</v>
      </c>
      <c r="D82" s="95">
        <f t="shared" si="3"/>
        <v>105</v>
      </c>
      <c r="E82" s="193">
        <f t="shared" si="13"/>
        <v>2.573784722</v>
      </c>
      <c r="F82" s="131">
        <f t="shared" si="4"/>
        <v>2.573784722</v>
      </c>
      <c r="G82" s="101">
        <f t="shared" si="5"/>
        <v>30</v>
      </c>
      <c r="H82" s="194">
        <f t="shared" si="6"/>
        <v>0</v>
      </c>
      <c r="I82" s="91" t="str">
        <f t="shared" si="7"/>
        <v/>
      </c>
      <c r="J82" s="91" t="str">
        <f t="shared" si="8"/>
        <v/>
      </c>
      <c r="K82" s="91">
        <f t="shared" ref="K82:L82" si="80">IF($B82&gt;4*$E$36,H82,H82*(1/3+$B82/(2*$E$36)/3))</f>
        <v>0</v>
      </c>
      <c r="L82" s="91" t="str">
        <f t="shared" si="80"/>
        <v/>
      </c>
      <c r="M82" s="91">
        <f t="shared" si="10"/>
        <v>3.000008483</v>
      </c>
      <c r="N82" s="91">
        <f t="shared" si="11"/>
        <v>23.164128</v>
      </c>
    </row>
    <row r="83" ht="12.75" hidden="1" customHeight="1">
      <c r="A83" s="170">
        <f t="shared" ref="A83:B83" si="81">+A82+1</f>
        <v>37</v>
      </c>
      <c r="B83" s="170">
        <f t="shared" si="81"/>
        <v>36.5</v>
      </c>
      <c r="C83" s="170">
        <v>1.0</v>
      </c>
      <c r="D83" s="95">
        <f t="shared" si="3"/>
        <v>105</v>
      </c>
      <c r="E83" s="193">
        <f t="shared" si="13"/>
        <v>2.634548611</v>
      </c>
      <c r="F83" s="131">
        <f t="shared" si="4"/>
        <v>2.634548611</v>
      </c>
      <c r="G83" s="101">
        <f t="shared" si="5"/>
        <v>30</v>
      </c>
      <c r="H83" s="194">
        <f t="shared" si="6"/>
        <v>0</v>
      </c>
      <c r="I83" s="91" t="str">
        <f t="shared" si="7"/>
        <v/>
      </c>
      <c r="J83" s="91" t="str">
        <f t="shared" si="8"/>
        <v/>
      </c>
      <c r="K83" s="91">
        <f t="shared" ref="K83:L83" si="82">IF($B83&gt;4*$E$36,H83,H83*(1/3+$B83/(2*$E$36)/3))</f>
        <v>0</v>
      </c>
      <c r="L83" s="91" t="str">
        <f t="shared" si="82"/>
        <v/>
      </c>
      <c r="M83" s="91">
        <f t="shared" si="10"/>
        <v>3.000008483</v>
      </c>
      <c r="N83" s="91">
        <f t="shared" si="11"/>
        <v>23.71100455</v>
      </c>
    </row>
    <row r="84" ht="12.75" hidden="1" customHeight="1">
      <c r="A84" s="170">
        <f t="shared" ref="A84:B84" si="83">+A83+1</f>
        <v>38</v>
      </c>
      <c r="B84" s="170">
        <f t="shared" si="83"/>
        <v>37.5</v>
      </c>
      <c r="C84" s="170">
        <v>1.0</v>
      </c>
      <c r="D84" s="95">
        <f t="shared" si="3"/>
        <v>105</v>
      </c>
      <c r="E84" s="193">
        <f t="shared" si="13"/>
        <v>2.6953125</v>
      </c>
      <c r="F84" s="131">
        <f t="shared" si="4"/>
        <v>2.6953125</v>
      </c>
      <c r="G84" s="101">
        <f t="shared" si="5"/>
        <v>30</v>
      </c>
      <c r="H84" s="194">
        <f t="shared" si="6"/>
        <v>0</v>
      </c>
      <c r="I84" s="91" t="str">
        <f t="shared" si="7"/>
        <v/>
      </c>
      <c r="J84" s="91" t="str">
        <f t="shared" si="8"/>
        <v/>
      </c>
      <c r="K84" s="91">
        <f t="shared" ref="K84:L84" si="84">IF($B84&gt;4*$E$36,H84,H84*(1/3+$B84/(2*$E$36)/3))</f>
        <v>0</v>
      </c>
      <c r="L84" s="91" t="str">
        <f t="shared" si="84"/>
        <v/>
      </c>
      <c r="M84" s="91">
        <f t="shared" si="10"/>
        <v>3.000008483</v>
      </c>
      <c r="N84" s="91">
        <f t="shared" si="11"/>
        <v>24.25788109</v>
      </c>
    </row>
    <row r="85" ht="12.75" hidden="1" customHeight="1">
      <c r="A85" s="170">
        <f t="shared" ref="A85:B85" si="85">+A84+1</f>
        <v>39</v>
      </c>
      <c r="B85" s="170">
        <f t="shared" si="85"/>
        <v>38.5</v>
      </c>
      <c r="C85" s="170">
        <v>1.0</v>
      </c>
      <c r="D85" s="95">
        <f t="shared" si="3"/>
        <v>105</v>
      </c>
      <c r="E85" s="193">
        <f t="shared" si="13"/>
        <v>2.756076389</v>
      </c>
      <c r="F85" s="131">
        <f t="shared" si="4"/>
        <v>2.756076389</v>
      </c>
      <c r="G85" s="101">
        <f t="shared" si="5"/>
        <v>30</v>
      </c>
      <c r="H85" s="194">
        <f t="shared" si="6"/>
        <v>0</v>
      </c>
      <c r="I85" s="91" t="str">
        <f t="shared" si="7"/>
        <v/>
      </c>
      <c r="J85" s="91" t="str">
        <f t="shared" si="8"/>
        <v/>
      </c>
      <c r="K85" s="91">
        <f t="shared" ref="K85:L85" si="86">IF($B85&gt;4*$E$36,H85,H85*(1/3+$B85/(2*$E$36)/3))</f>
        <v>0</v>
      </c>
      <c r="L85" s="91" t="str">
        <f t="shared" si="86"/>
        <v/>
      </c>
      <c r="M85" s="91">
        <f t="shared" si="10"/>
        <v>3.000008483</v>
      </c>
      <c r="N85" s="91">
        <f t="shared" si="11"/>
        <v>24.80475764</v>
      </c>
    </row>
    <row r="86" ht="12.75" hidden="1" customHeight="1">
      <c r="A86" s="170">
        <f t="shared" ref="A86:B86" si="87">+A85+1</f>
        <v>40</v>
      </c>
      <c r="B86" s="170">
        <f t="shared" si="87"/>
        <v>39.5</v>
      </c>
      <c r="C86" s="170">
        <v>1.0</v>
      </c>
      <c r="D86" s="95">
        <f t="shared" si="3"/>
        <v>105</v>
      </c>
      <c r="E86" s="193">
        <f t="shared" si="13"/>
        <v>2.816840278</v>
      </c>
      <c r="F86" s="131">
        <f t="shared" si="4"/>
        <v>2.816840278</v>
      </c>
      <c r="G86" s="101">
        <f t="shared" si="5"/>
        <v>30</v>
      </c>
      <c r="H86" s="194">
        <f t="shared" si="6"/>
        <v>0</v>
      </c>
      <c r="I86" s="91" t="str">
        <f t="shared" si="7"/>
        <v/>
      </c>
      <c r="J86" s="91" t="str">
        <f t="shared" si="8"/>
        <v/>
      </c>
      <c r="K86" s="91">
        <f t="shared" ref="K86:L86" si="88">IF($B86&gt;4*$E$36,H86,H86*(1/3+$B86/(2*$E$36)/3))</f>
        <v>0</v>
      </c>
      <c r="L86" s="91" t="str">
        <f t="shared" si="88"/>
        <v/>
      </c>
      <c r="M86" s="91">
        <f t="shared" si="10"/>
        <v>3.000008483</v>
      </c>
      <c r="N86" s="91">
        <f t="shared" si="11"/>
        <v>25.35163419</v>
      </c>
    </row>
    <row r="87" ht="12.75" hidden="1" customHeight="1">
      <c r="A87" s="170">
        <f t="shared" ref="A87:B87" si="89">+A86+1</f>
        <v>41</v>
      </c>
      <c r="B87" s="170">
        <f t="shared" si="89"/>
        <v>40.5</v>
      </c>
      <c r="C87" s="170">
        <v>1.0</v>
      </c>
      <c r="D87" s="95">
        <f t="shared" si="3"/>
        <v>105</v>
      </c>
      <c r="E87" s="193">
        <f t="shared" si="13"/>
        <v>2.877604167</v>
      </c>
      <c r="F87" s="131">
        <f t="shared" si="4"/>
        <v>2.877604167</v>
      </c>
      <c r="G87" s="101">
        <f t="shared" si="5"/>
        <v>30</v>
      </c>
      <c r="H87" s="194">
        <f t="shared" si="6"/>
        <v>0</v>
      </c>
      <c r="I87" s="91" t="str">
        <f t="shared" si="7"/>
        <v/>
      </c>
      <c r="J87" s="91" t="str">
        <f t="shared" si="8"/>
        <v/>
      </c>
      <c r="K87" s="91">
        <f t="shared" ref="K87:L87" si="90">IF($B87&gt;4*$E$36,H87,H87*(1/3+$B87/(2*$E$36)/3))</f>
        <v>0</v>
      </c>
      <c r="L87" s="91" t="str">
        <f t="shared" si="90"/>
        <v/>
      </c>
      <c r="M87" s="91">
        <f t="shared" si="10"/>
        <v>3.000008483</v>
      </c>
      <c r="N87" s="91">
        <f t="shared" si="11"/>
        <v>25.89851073</v>
      </c>
    </row>
    <row r="88" ht="12.75" hidden="1" customHeight="1">
      <c r="A88" s="170">
        <f t="shared" ref="A88:B88" si="91">+A87+1</f>
        <v>42</v>
      </c>
      <c r="B88" s="170">
        <f t="shared" si="91"/>
        <v>41.5</v>
      </c>
      <c r="C88" s="170">
        <v>1.0</v>
      </c>
      <c r="D88" s="95">
        <f t="shared" si="3"/>
        <v>105</v>
      </c>
      <c r="E88" s="193">
        <f t="shared" si="13"/>
        <v>2.938368056</v>
      </c>
      <c r="F88" s="131">
        <f t="shared" si="4"/>
        <v>2.938368056</v>
      </c>
      <c r="G88" s="101">
        <f t="shared" si="5"/>
        <v>30</v>
      </c>
      <c r="H88" s="194">
        <f t="shared" si="6"/>
        <v>0</v>
      </c>
      <c r="I88" s="91" t="str">
        <f t="shared" si="7"/>
        <v/>
      </c>
      <c r="J88" s="91" t="str">
        <f t="shared" si="8"/>
        <v/>
      </c>
      <c r="K88" s="91">
        <f t="shared" ref="K88:L88" si="92">IF($B88&gt;4*$E$36,H88,H88*(1/3+$B88/(2*$E$36)/3))</f>
        <v>0</v>
      </c>
      <c r="L88" s="91" t="str">
        <f t="shared" si="92"/>
        <v/>
      </c>
      <c r="M88" s="91">
        <f t="shared" si="10"/>
        <v>3.000008483</v>
      </c>
      <c r="N88" s="91">
        <f t="shared" si="11"/>
        <v>26.44538728</v>
      </c>
    </row>
    <row r="89" ht="12.75" hidden="1" customHeight="1">
      <c r="A89" s="170">
        <f t="shared" ref="A89:B89" si="93">+A88+1</f>
        <v>43</v>
      </c>
      <c r="B89" s="170">
        <f t="shared" si="93"/>
        <v>42.5</v>
      </c>
      <c r="C89" s="170">
        <v>1.0</v>
      </c>
      <c r="D89" s="95">
        <f t="shared" si="3"/>
        <v>105</v>
      </c>
      <c r="E89" s="193">
        <f t="shared" si="13"/>
        <v>2.999131944</v>
      </c>
      <c r="F89" s="131">
        <f t="shared" si="4"/>
        <v>2.999131944</v>
      </c>
      <c r="G89" s="101">
        <f t="shared" si="5"/>
        <v>30</v>
      </c>
      <c r="H89" s="194">
        <f t="shared" si="6"/>
        <v>0</v>
      </c>
      <c r="I89" s="91" t="str">
        <f t="shared" si="7"/>
        <v/>
      </c>
      <c r="J89" s="91" t="str">
        <f t="shared" si="8"/>
        <v/>
      </c>
      <c r="K89" s="91">
        <f t="shared" ref="K89:L89" si="94">IF($B89&gt;4*$E$36,H89,H89*(1/3+$B89/(2*$E$36)/3))</f>
        <v>0</v>
      </c>
      <c r="L89" s="91" t="str">
        <f t="shared" si="94"/>
        <v/>
      </c>
      <c r="M89" s="91">
        <f t="shared" si="10"/>
        <v>3.000008483</v>
      </c>
      <c r="N89" s="91">
        <f t="shared" si="11"/>
        <v>26.99226382</v>
      </c>
    </row>
    <row r="90" ht="12.75" hidden="1" customHeight="1">
      <c r="A90" s="170">
        <f t="shared" ref="A90:B90" si="95">+A89+1</f>
        <v>44</v>
      </c>
      <c r="B90" s="170">
        <f t="shared" si="95"/>
        <v>43.5</v>
      </c>
      <c r="C90" s="170">
        <v>1.0</v>
      </c>
      <c r="D90" s="95">
        <f t="shared" si="3"/>
        <v>105</v>
      </c>
      <c r="E90" s="193">
        <f t="shared" si="13"/>
        <v>3.059895833</v>
      </c>
      <c r="F90" s="131">
        <f t="shared" si="4"/>
        <v>3.059895833</v>
      </c>
      <c r="G90" s="101">
        <f t="shared" si="5"/>
        <v>30</v>
      </c>
      <c r="H90" s="194">
        <f t="shared" si="6"/>
        <v>0</v>
      </c>
      <c r="I90" s="91" t="str">
        <f t="shared" si="7"/>
        <v/>
      </c>
      <c r="J90" s="91" t="str">
        <f t="shared" si="8"/>
        <v/>
      </c>
      <c r="K90" s="91">
        <f t="shared" ref="K90:L90" si="96">IF($B90&gt;4*$E$36,H90,H90*(1/3+$B90/(2*$E$36)/3))</f>
        <v>0</v>
      </c>
      <c r="L90" s="91" t="str">
        <f t="shared" si="96"/>
        <v/>
      </c>
      <c r="M90" s="91">
        <f t="shared" si="10"/>
        <v>3.000008483</v>
      </c>
      <c r="N90" s="91">
        <f t="shared" si="11"/>
        <v>27.53914037</v>
      </c>
    </row>
    <row r="91" ht="12.75" hidden="1" customHeight="1">
      <c r="A91" s="170">
        <f t="shared" ref="A91:B91" si="97">+A90+1</f>
        <v>45</v>
      </c>
      <c r="B91" s="170">
        <f t="shared" si="97"/>
        <v>44.5</v>
      </c>
      <c r="C91" s="170">
        <v>1.0</v>
      </c>
      <c r="D91" s="95">
        <f t="shared" si="3"/>
        <v>105</v>
      </c>
      <c r="E91" s="193">
        <f t="shared" si="13"/>
        <v>3.120659722</v>
      </c>
      <c r="F91" s="131">
        <f t="shared" si="4"/>
        <v>3.120659722</v>
      </c>
      <c r="G91" s="101">
        <f t="shared" si="5"/>
        <v>30</v>
      </c>
      <c r="H91" s="194">
        <f t="shared" si="6"/>
        <v>0</v>
      </c>
      <c r="I91" s="91" t="str">
        <f t="shared" si="7"/>
        <v/>
      </c>
      <c r="J91" s="91" t="str">
        <f t="shared" si="8"/>
        <v/>
      </c>
      <c r="K91" s="91">
        <f t="shared" ref="K91:L91" si="98">IF($B91&gt;4*$E$36,H91,H91*(1/3+$B91/(2*$E$36)/3))</f>
        <v>0</v>
      </c>
      <c r="L91" s="91" t="str">
        <f t="shared" si="98"/>
        <v/>
      </c>
      <c r="M91" s="91">
        <f t="shared" si="10"/>
        <v>3.000008483</v>
      </c>
      <c r="N91" s="91">
        <f t="shared" si="11"/>
        <v>28.08601692</v>
      </c>
    </row>
    <row r="92" ht="12.75" hidden="1" customHeight="1">
      <c r="A92" s="170">
        <f t="shared" ref="A92:B92" si="99">+A91+1</f>
        <v>46</v>
      </c>
      <c r="B92" s="170">
        <f t="shared" si="99"/>
        <v>45.5</v>
      </c>
      <c r="C92" s="170">
        <v>1.0</v>
      </c>
      <c r="D92" s="95">
        <f t="shared" si="3"/>
        <v>105</v>
      </c>
      <c r="E92" s="193">
        <f t="shared" si="13"/>
        <v>3.181423611</v>
      </c>
      <c r="F92" s="131">
        <f t="shared" si="4"/>
        <v>3.181423611</v>
      </c>
      <c r="G92" s="101">
        <f t="shared" si="5"/>
        <v>30</v>
      </c>
      <c r="H92" s="194">
        <f t="shared" si="6"/>
        <v>0</v>
      </c>
      <c r="I92" s="91" t="str">
        <f t="shared" si="7"/>
        <v/>
      </c>
      <c r="J92" s="91" t="str">
        <f t="shared" si="8"/>
        <v/>
      </c>
      <c r="K92" s="91">
        <f t="shared" ref="K92:L92" si="100">IF($B92&gt;4*$E$36,H92,H92*(1/3+$B92/(2*$E$36)/3))</f>
        <v>0</v>
      </c>
      <c r="L92" s="91" t="str">
        <f t="shared" si="100"/>
        <v/>
      </c>
      <c r="M92" s="91">
        <f t="shared" si="10"/>
        <v>3.000008483</v>
      </c>
      <c r="N92" s="91">
        <f t="shared" si="11"/>
        <v>28.63289346</v>
      </c>
    </row>
    <row r="93" ht="12.75" hidden="1" customHeight="1">
      <c r="A93" s="170">
        <f t="shared" ref="A93:B93" si="101">+A92+1</f>
        <v>47</v>
      </c>
      <c r="B93" s="170">
        <f t="shared" si="101"/>
        <v>46.5</v>
      </c>
      <c r="C93" s="170">
        <v>1.0</v>
      </c>
      <c r="D93" s="95">
        <f t="shared" si="3"/>
        <v>105</v>
      </c>
      <c r="E93" s="193">
        <f t="shared" si="13"/>
        <v>3.2421875</v>
      </c>
      <c r="F93" s="131">
        <f t="shared" si="4"/>
        <v>3.2421875</v>
      </c>
      <c r="G93" s="101">
        <f t="shared" si="5"/>
        <v>30</v>
      </c>
      <c r="H93" s="194">
        <f t="shared" si="6"/>
        <v>0</v>
      </c>
      <c r="I93" s="91" t="str">
        <f t="shared" si="7"/>
        <v/>
      </c>
      <c r="J93" s="91" t="str">
        <f t="shared" si="8"/>
        <v/>
      </c>
      <c r="K93" s="91">
        <f t="shared" ref="K93:L93" si="102">IF($B93&gt;4*$E$36,H93,H93*(1/3+$B93/(2*$E$36)/3))</f>
        <v>0</v>
      </c>
      <c r="L93" s="91" t="str">
        <f t="shared" si="102"/>
        <v/>
      </c>
      <c r="M93" s="91">
        <f t="shared" si="10"/>
        <v>3.000008483</v>
      </c>
      <c r="N93" s="91">
        <f t="shared" si="11"/>
        <v>29.17977001</v>
      </c>
    </row>
    <row r="94" ht="12.75" hidden="1" customHeight="1">
      <c r="A94" s="170">
        <f t="shared" ref="A94:B94" si="103">+A93+1</f>
        <v>48</v>
      </c>
      <c r="B94" s="170">
        <f t="shared" si="103"/>
        <v>47.5</v>
      </c>
      <c r="C94" s="170">
        <v>1.0</v>
      </c>
      <c r="D94" s="95">
        <f t="shared" si="3"/>
        <v>105</v>
      </c>
      <c r="E94" s="193">
        <f t="shared" si="13"/>
        <v>3.302951389</v>
      </c>
      <c r="F94" s="131">
        <f t="shared" si="4"/>
        <v>3.302951389</v>
      </c>
      <c r="G94" s="101">
        <f t="shared" si="5"/>
        <v>30</v>
      </c>
      <c r="H94" s="194">
        <f t="shared" si="6"/>
        <v>0</v>
      </c>
      <c r="I94" s="91" t="str">
        <f t="shared" si="7"/>
        <v/>
      </c>
      <c r="J94" s="91" t="str">
        <f t="shared" si="8"/>
        <v/>
      </c>
      <c r="K94" s="91">
        <f t="shared" ref="K94:L94" si="104">IF($B94&gt;4*$E$36,H94,H94*(1/3+$B94/(2*$E$36)/3))</f>
        <v>0</v>
      </c>
      <c r="L94" s="91" t="str">
        <f t="shared" si="104"/>
        <v/>
      </c>
      <c r="M94" s="91">
        <f t="shared" si="10"/>
        <v>3.000008483</v>
      </c>
      <c r="N94" s="91">
        <f t="shared" si="11"/>
        <v>29.72664656</v>
      </c>
    </row>
    <row r="95" ht="12.75" hidden="1" customHeight="1">
      <c r="A95" s="170">
        <f t="shared" ref="A95:B95" si="105">+A94+1</f>
        <v>49</v>
      </c>
      <c r="B95" s="170">
        <f t="shared" si="105"/>
        <v>48.5</v>
      </c>
      <c r="C95" s="170">
        <v>1.0</v>
      </c>
      <c r="D95" s="95">
        <f t="shared" si="3"/>
        <v>105</v>
      </c>
      <c r="E95" s="193">
        <f t="shared" si="13"/>
        <v>3.363715278</v>
      </c>
      <c r="F95" s="131">
        <f t="shared" si="4"/>
        <v>3.363715278</v>
      </c>
      <c r="G95" s="101">
        <f t="shared" si="5"/>
        <v>30</v>
      </c>
      <c r="H95" s="194">
        <f t="shared" si="6"/>
        <v>0</v>
      </c>
      <c r="I95" s="91" t="str">
        <f t="shared" si="7"/>
        <v/>
      </c>
      <c r="J95" s="91" t="str">
        <f t="shared" si="8"/>
        <v/>
      </c>
      <c r="K95" s="91">
        <f t="shared" ref="K95:L95" si="106">IF($B95&gt;4*$E$36,H95,H95*(1/3+$B95/(2*$E$36)/3))</f>
        <v>0</v>
      </c>
      <c r="L95" s="91" t="str">
        <f t="shared" si="106"/>
        <v/>
      </c>
      <c r="M95" s="91">
        <f t="shared" si="10"/>
        <v>3.000008483</v>
      </c>
      <c r="N95" s="91">
        <f t="shared" si="11"/>
        <v>30.2735231</v>
      </c>
    </row>
    <row r="96" ht="12.75" hidden="1" customHeight="1">
      <c r="A96" s="170">
        <f t="shared" ref="A96:B96" si="107">+A95+1</f>
        <v>50</v>
      </c>
      <c r="B96" s="170">
        <f t="shared" si="107"/>
        <v>49.5</v>
      </c>
      <c r="C96" s="170">
        <v>1.0</v>
      </c>
      <c r="D96" s="95">
        <f t="shared" si="3"/>
        <v>105</v>
      </c>
      <c r="E96" s="193">
        <f t="shared" si="13"/>
        <v>3.424479167</v>
      </c>
      <c r="F96" s="131">
        <f t="shared" si="4"/>
        <v>3.424479167</v>
      </c>
      <c r="G96" s="101">
        <f t="shared" si="5"/>
        <v>30</v>
      </c>
      <c r="H96" s="194">
        <f t="shared" si="6"/>
        <v>0</v>
      </c>
      <c r="I96" s="91" t="str">
        <f t="shared" si="7"/>
        <v/>
      </c>
      <c r="J96" s="91" t="str">
        <f t="shared" si="8"/>
        <v/>
      </c>
      <c r="K96" s="91">
        <f t="shared" ref="K96:L96" si="108">IF($B96&gt;4*$E$36,H96,H96*(1/3+$B96/(2*$E$36)/3))</f>
        <v>0</v>
      </c>
      <c r="L96" s="91" t="str">
        <f t="shared" si="108"/>
        <v/>
      </c>
      <c r="M96" s="91">
        <f t="shared" si="10"/>
        <v>3.000008483</v>
      </c>
      <c r="N96" s="91">
        <f t="shared" si="11"/>
        <v>30.82039965</v>
      </c>
    </row>
    <row r="97" ht="12.75" hidden="1" customHeight="1">
      <c r="A97" s="170">
        <f t="shared" ref="A97:B97" si="109">+A96+1</f>
        <v>51</v>
      </c>
      <c r="B97" s="170">
        <f t="shared" si="109"/>
        <v>50.5</v>
      </c>
      <c r="C97" s="170">
        <v>1.0</v>
      </c>
      <c r="D97" s="95">
        <f t="shared" si="3"/>
        <v>105</v>
      </c>
      <c r="E97" s="193">
        <f t="shared" si="13"/>
        <v>3.485243056</v>
      </c>
      <c r="F97" s="131">
        <f t="shared" si="4"/>
        <v>3.485243056</v>
      </c>
      <c r="G97" s="101">
        <f t="shared" si="5"/>
        <v>30</v>
      </c>
      <c r="H97" s="194">
        <f t="shared" si="6"/>
        <v>0</v>
      </c>
      <c r="I97" s="91" t="str">
        <f t="shared" si="7"/>
        <v/>
      </c>
      <c r="J97" s="91" t="str">
        <f t="shared" si="8"/>
        <v/>
      </c>
      <c r="K97" s="91">
        <f t="shared" ref="K97:L97" si="110">IF($B97&gt;4*$E$36,H97,H97*(1/3+$B97/(2*$E$36)/3))</f>
        <v>0</v>
      </c>
      <c r="L97" s="91" t="str">
        <f t="shared" si="110"/>
        <v/>
      </c>
      <c r="M97" s="91">
        <f t="shared" si="10"/>
        <v>3.000008483</v>
      </c>
      <c r="N97" s="91">
        <f t="shared" si="11"/>
        <v>31.3672762</v>
      </c>
    </row>
    <row r="98" ht="12.75" hidden="1" customHeight="1">
      <c r="A98" s="170">
        <f t="shared" ref="A98:B98" si="111">+A97+1</f>
        <v>52</v>
      </c>
      <c r="B98" s="170">
        <f t="shared" si="111"/>
        <v>51.5</v>
      </c>
      <c r="C98" s="170">
        <v>1.0</v>
      </c>
      <c r="D98" s="95">
        <f t="shared" si="3"/>
        <v>105</v>
      </c>
      <c r="E98" s="193">
        <f t="shared" si="13"/>
        <v>3.546006944</v>
      </c>
      <c r="F98" s="131">
        <f t="shared" si="4"/>
        <v>3.546006944</v>
      </c>
      <c r="G98" s="101">
        <f t="shared" si="5"/>
        <v>30</v>
      </c>
      <c r="H98" s="194">
        <f t="shared" si="6"/>
        <v>0</v>
      </c>
      <c r="I98" s="91" t="str">
        <f t="shared" si="7"/>
        <v/>
      </c>
      <c r="J98" s="91" t="str">
        <f t="shared" si="8"/>
        <v/>
      </c>
      <c r="K98" s="91">
        <f t="shared" ref="K98:L98" si="112">IF($B98&gt;4*$E$36,H98,H98*(1/3+$B98/(2*$E$36)/3))</f>
        <v>0</v>
      </c>
      <c r="L98" s="91" t="str">
        <f t="shared" si="112"/>
        <v/>
      </c>
      <c r="M98" s="91">
        <f t="shared" si="10"/>
        <v>3.000008483</v>
      </c>
      <c r="N98" s="91">
        <f t="shared" si="11"/>
        <v>31.91415274</v>
      </c>
    </row>
    <row r="99" ht="12.75" hidden="1" customHeight="1">
      <c r="A99" s="170">
        <f t="shared" ref="A99:B99" si="113">+A98+1</f>
        <v>53</v>
      </c>
      <c r="B99" s="170">
        <f t="shared" si="113"/>
        <v>52.5</v>
      </c>
      <c r="C99" s="170">
        <v>1.0</v>
      </c>
      <c r="D99" s="95">
        <f t="shared" si="3"/>
        <v>105</v>
      </c>
      <c r="E99" s="193">
        <f t="shared" si="13"/>
        <v>3.606770833</v>
      </c>
      <c r="F99" s="131">
        <f t="shared" si="4"/>
        <v>3.606770833</v>
      </c>
      <c r="G99" s="101">
        <f t="shared" si="5"/>
        <v>30</v>
      </c>
      <c r="H99" s="194">
        <f t="shared" si="6"/>
        <v>0</v>
      </c>
      <c r="I99" s="91" t="str">
        <f t="shared" si="7"/>
        <v/>
      </c>
      <c r="J99" s="91" t="str">
        <f t="shared" si="8"/>
        <v/>
      </c>
      <c r="K99" s="91">
        <f t="shared" ref="K99:L99" si="114">IF($B99&gt;4*$E$36,H99,H99*(1/3+$B99/(2*$E$36)/3))</f>
        <v>0</v>
      </c>
      <c r="L99" s="91" t="str">
        <f t="shared" si="114"/>
        <v/>
      </c>
      <c r="M99" s="91">
        <f t="shared" si="10"/>
        <v>3.000008483</v>
      </c>
      <c r="N99" s="91">
        <f t="shared" si="11"/>
        <v>32.46102929</v>
      </c>
    </row>
    <row r="100" ht="12.75" hidden="1" customHeight="1">
      <c r="A100" s="170">
        <f t="shared" ref="A100:B100" si="115">+A99+1</f>
        <v>54</v>
      </c>
      <c r="B100" s="170">
        <f t="shared" si="115"/>
        <v>53.5</v>
      </c>
      <c r="C100" s="170">
        <v>1.0</v>
      </c>
      <c r="D100" s="95">
        <f t="shared" si="3"/>
        <v>105</v>
      </c>
      <c r="E100" s="193">
        <f t="shared" si="13"/>
        <v>3.667534722</v>
      </c>
      <c r="F100" s="131">
        <f t="shared" si="4"/>
        <v>3.667534722</v>
      </c>
      <c r="G100" s="101">
        <f t="shared" si="5"/>
        <v>30</v>
      </c>
      <c r="H100" s="194">
        <f t="shared" si="6"/>
        <v>0</v>
      </c>
      <c r="I100" s="91" t="str">
        <f t="shared" si="7"/>
        <v/>
      </c>
      <c r="J100" s="91" t="str">
        <f t="shared" si="8"/>
        <v/>
      </c>
      <c r="K100" s="91">
        <f t="shared" ref="K100:L100" si="116">IF($B100&gt;4*$E$36,H100,H100*(1/3+$B100/(2*$E$36)/3))</f>
        <v>0</v>
      </c>
      <c r="L100" s="91" t="str">
        <f t="shared" si="116"/>
        <v/>
      </c>
      <c r="M100" s="91">
        <f t="shared" si="10"/>
        <v>3.000008483</v>
      </c>
      <c r="N100" s="91">
        <f t="shared" si="11"/>
        <v>33.00790583</v>
      </c>
    </row>
    <row r="101" ht="12.75" hidden="1" customHeight="1">
      <c r="A101" s="170">
        <f t="shared" ref="A101:B101" si="117">+A100+1</f>
        <v>55</v>
      </c>
      <c r="B101" s="170">
        <f t="shared" si="117"/>
        <v>54.5</v>
      </c>
      <c r="C101" s="170">
        <v>1.0</v>
      </c>
      <c r="D101" s="95">
        <f t="shared" si="3"/>
        <v>105</v>
      </c>
      <c r="E101" s="193">
        <f t="shared" si="13"/>
        <v>3.728298611</v>
      </c>
      <c r="F101" s="131">
        <f t="shared" si="4"/>
        <v>3.728298611</v>
      </c>
      <c r="G101" s="101">
        <f t="shared" si="5"/>
        <v>30</v>
      </c>
      <c r="H101" s="194">
        <f t="shared" si="6"/>
        <v>0</v>
      </c>
      <c r="I101" s="91" t="str">
        <f t="shared" si="7"/>
        <v/>
      </c>
      <c r="J101" s="91" t="str">
        <f t="shared" si="8"/>
        <v/>
      </c>
      <c r="K101" s="91">
        <f t="shared" ref="K101:L101" si="118">IF($B101&gt;4*$E$36,H101,H101*(1/3+$B101/(2*$E$36)/3))</f>
        <v>0</v>
      </c>
      <c r="L101" s="91" t="str">
        <f t="shared" si="118"/>
        <v/>
      </c>
      <c r="M101" s="91">
        <f t="shared" si="10"/>
        <v>3.000008483</v>
      </c>
      <c r="N101" s="91">
        <f t="shared" si="11"/>
        <v>33.55478238</v>
      </c>
    </row>
    <row r="102" ht="12.75" hidden="1" customHeight="1">
      <c r="A102" s="170">
        <f t="shared" ref="A102:B102" si="119">+A101+1</f>
        <v>56</v>
      </c>
      <c r="B102" s="170">
        <f t="shared" si="119"/>
        <v>55.5</v>
      </c>
      <c r="C102" s="170">
        <v>1.0</v>
      </c>
      <c r="D102" s="95">
        <f t="shared" si="3"/>
        <v>105</v>
      </c>
      <c r="E102" s="193">
        <f t="shared" si="13"/>
        <v>3.7890625</v>
      </c>
      <c r="F102" s="131">
        <f t="shared" si="4"/>
        <v>3.7890625</v>
      </c>
      <c r="G102" s="101">
        <f t="shared" si="5"/>
        <v>30</v>
      </c>
      <c r="H102" s="194">
        <f t="shared" si="6"/>
        <v>0</v>
      </c>
      <c r="I102" s="91" t="str">
        <f t="shared" si="7"/>
        <v/>
      </c>
      <c r="J102" s="91" t="str">
        <f t="shared" si="8"/>
        <v/>
      </c>
      <c r="K102" s="91">
        <f t="shared" ref="K102:L102" si="120">IF($B102&gt;4*$E$36,H102,H102*(1/3+$B102/(2*$E$36)/3))</f>
        <v>0</v>
      </c>
      <c r="L102" s="91" t="str">
        <f t="shared" si="120"/>
        <v/>
      </c>
      <c r="M102" s="91">
        <f t="shared" si="10"/>
        <v>3.000008483</v>
      </c>
      <c r="N102" s="91">
        <f t="shared" si="11"/>
        <v>34.10165893</v>
      </c>
    </row>
    <row r="103" ht="12.75" hidden="1" customHeight="1">
      <c r="A103" s="170">
        <f t="shared" ref="A103:B103" si="121">+A102+1</f>
        <v>57</v>
      </c>
      <c r="B103" s="170">
        <f t="shared" si="121"/>
        <v>56.5</v>
      </c>
      <c r="C103" s="170">
        <v>1.0</v>
      </c>
      <c r="D103" s="95">
        <f t="shared" si="3"/>
        <v>105</v>
      </c>
      <c r="E103" s="193">
        <f t="shared" si="13"/>
        <v>3.849826389</v>
      </c>
      <c r="F103" s="131">
        <f t="shared" si="4"/>
        <v>3.849826389</v>
      </c>
      <c r="G103" s="101">
        <f t="shared" si="5"/>
        <v>30</v>
      </c>
      <c r="H103" s="194">
        <f t="shared" si="6"/>
        <v>0</v>
      </c>
      <c r="I103" s="91" t="str">
        <f t="shared" si="7"/>
        <v/>
      </c>
      <c r="J103" s="91" t="str">
        <f t="shared" si="8"/>
        <v/>
      </c>
      <c r="K103" s="91">
        <f t="shared" ref="K103:L103" si="122">IF($B103&gt;4*$E$36,H103,H103*(1/3+$B103/(2*$E$36)/3))</f>
        <v>0</v>
      </c>
      <c r="L103" s="91" t="str">
        <f t="shared" si="122"/>
        <v/>
      </c>
      <c r="M103" s="91">
        <f t="shared" si="10"/>
        <v>3.000008483</v>
      </c>
      <c r="N103" s="91">
        <f t="shared" si="11"/>
        <v>34.64853547</v>
      </c>
    </row>
    <row r="104" ht="12.75" hidden="1" customHeight="1">
      <c r="A104" s="170">
        <f t="shared" ref="A104:B104" si="123">+A103+1</f>
        <v>58</v>
      </c>
      <c r="B104" s="170">
        <f t="shared" si="123"/>
        <v>57.5</v>
      </c>
      <c r="C104" s="170">
        <v>1.0</v>
      </c>
      <c r="D104" s="95">
        <f t="shared" si="3"/>
        <v>105</v>
      </c>
      <c r="E104" s="193">
        <f t="shared" si="13"/>
        <v>3.910590278</v>
      </c>
      <c r="F104" s="131">
        <f t="shared" si="4"/>
        <v>3.910590278</v>
      </c>
      <c r="G104" s="101">
        <f t="shared" si="5"/>
        <v>30</v>
      </c>
      <c r="H104" s="194">
        <f t="shared" si="6"/>
        <v>0</v>
      </c>
      <c r="I104" s="91" t="str">
        <f t="shared" si="7"/>
        <v/>
      </c>
      <c r="J104" s="91" t="str">
        <f t="shared" si="8"/>
        <v/>
      </c>
      <c r="K104" s="91">
        <f t="shared" ref="K104:L104" si="124">IF($B104&gt;4*$E$36,H104,H104*(1/3+$B104/(2*$E$36)/3))</f>
        <v>0</v>
      </c>
      <c r="L104" s="91" t="str">
        <f t="shared" si="124"/>
        <v/>
      </c>
      <c r="M104" s="91">
        <f t="shared" si="10"/>
        <v>3.000008483</v>
      </c>
      <c r="N104" s="91">
        <f t="shared" si="11"/>
        <v>35.19541202</v>
      </c>
    </row>
    <row r="105" ht="12.75" hidden="1" customHeight="1">
      <c r="A105" s="170">
        <f t="shared" ref="A105:B105" si="125">+A104+1</f>
        <v>59</v>
      </c>
      <c r="B105" s="170">
        <f t="shared" si="125"/>
        <v>58.5</v>
      </c>
      <c r="C105" s="170">
        <v>1.0</v>
      </c>
      <c r="D105" s="95">
        <f t="shared" si="3"/>
        <v>105</v>
      </c>
      <c r="E105" s="193">
        <f t="shared" si="13"/>
        <v>3.971354167</v>
      </c>
      <c r="F105" s="131">
        <f t="shared" si="4"/>
        <v>3.971354167</v>
      </c>
      <c r="G105" s="101">
        <f t="shared" si="5"/>
        <v>30</v>
      </c>
      <c r="H105" s="194">
        <f t="shared" si="6"/>
        <v>0</v>
      </c>
      <c r="I105" s="91" t="str">
        <f t="shared" si="7"/>
        <v/>
      </c>
      <c r="J105" s="91" t="str">
        <f t="shared" si="8"/>
        <v/>
      </c>
      <c r="K105" s="91">
        <f t="shared" ref="K105:L105" si="126">IF($B105&gt;4*$E$36,H105,H105*(1/3+$B105/(2*$E$36)/3))</f>
        <v>0</v>
      </c>
      <c r="L105" s="91" t="str">
        <f t="shared" si="126"/>
        <v/>
      </c>
      <c r="M105" s="91">
        <f t="shared" si="10"/>
        <v>3.000008483</v>
      </c>
      <c r="N105" s="91">
        <f t="shared" si="11"/>
        <v>35.74228857</v>
      </c>
    </row>
    <row r="106" ht="12.75" hidden="1" customHeight="1">
      <c r="A106" s="170">
        <f t="shared" ref="A106:B106" si="127">+A105+1</f>
        <v>60</v>
      </c>
      <c r="B106" s="170">
        <f t="shared" si="127"/>
        <v>59.5</v>
      </c>
      <c r="C106" s="170">
        <v>1.0</v>
      </c>
      <c r="D106" s="95">
        <f t="shared" si="3"/>
        <v>105</v>
      </c>
      <c r="E106" s="193">
        <f t="shared" si="13"/>
        <v>4.032118056</v>
      </c>
      <c r="F106" s="131">
        <f t="shared" si="4"/>
        <v>4.032118056</v>
      </c>
      <c r="G106" s="101">
        <f t="shared" si="5"/>
        <v>30</v>
      </c>
      <c r="H106" s="194">
        <f t="shared" si="6"/>
        <v>0</v>
      </c>
      <c r="I106" s="91" t="str">
        <f t="shared" si="7"/>
        <v/>
      </c>
      <c r="J106" s="91" t="str">
        <f t="shared" si="8"/>
        <v/>
      </c>
      <c r="K106" s="91">
        <f t="shared" ref="K106:L106" si="128">IF($B106&gt;4*$E$36,H106,H106*(1/3+$B106/(2*$E$36)/3))</f>
        <v>0</v>
      </c>
      <c r="L106" s="91" t="str">
        <f t="shared" si="128"/>
        <v/>
      </c>
      <c r="M106" s="91">
        <f t="shared" si="10"/>
        <v>3.000008483</v>
      </c>
      <c r="N106" s="91">
        <f t="shared" si="11"/>
        <v>36.28916511</v>
      </c>
    </row>
    <row r="107" ht="12.75" hidden="1" customHeight="1">
      <c r="A107" s="170">
        <f t="shared" ref="A107:B107" si="129">+A106+1</f>
        <v>61</v>
      </c>
      <c r="B107" s="170">
        <f t="shared" si="129"/>
        <v>60.5</v>
      </c>
      <c r="C107" s="170">
        <v>1.0</v>
      </c>
      <c r="D107" s="95">
        <f t="shared" si="3"/>
        <v>105</v>
      </c>
      <c r="E107" s="193">
        <f t="shared" si="13"/>
        <v>4.092881944</v>
      </c>
      <c r="F107" s="131">
        <f t="shared" si="4"/>
        <v>4.092881944</v>
      </c>
      <c r="G107" s="101">
        <f t="shared" si="5"/>
        <v>30</v>
      </c>
      <c r="H107" s="194">
        <f t="shared" si="6"/>
        <v>0</v>
      </c>
      <c r="I107" s="91" t="str">
        <f t="shared" si="7"/>
        <v/>
      </c>
      <c r="J107" s="91" t="str">
        <f t="shared" si="8"/>
        <v/>
      </c>
      <c r="K107" s="91">
        <f t="shared" ref="K107:L107" si="130">IF($B107&gt;4*$E$36,H107,H107*(1/3+$B107/(2*$E$36)/3))</f>
        <v>0</v>
      </c>
      <c r="L107" s="91" t="str">
        <f t="shared" si="130"/>
        <v/>
      </c>
      <c r="M107" s="91">
        <f t="shared" si="10"/>
        <v>3.000008483</v>
      </c>
      <c r="N107" s="91">
        <f t="shared" si="11"/>
        <v>36.83604166</v>
      </c>
    </row>
    <row r="108" ht="12.75" hidden="1" customHeight="1">
      <c r="A108" s="170">
        <f t="shared" ref="A108:B108" si="131">+A107+1</f>
        <v>62</v>
      </c>
      <c r="B108" s="170">
        <f t="shared" si="131"/>
        <v>61.5</v>
      </c>
      <c r="C108" s="170">
        <v>1.0</v>
      </c>
      <c r="D108" s="95">
        <f t="shared" si="3"/>
        <v>105</v>
      </c>
      <c r="E108" s="193">
        <f t="shared" si="13"/>
        <v>4.153645833</v>
      </c>
      <c r="F108" s="131">
        <f t="shared" si="4"/>
        <v>4.153645833</v>
      </c>
      <c r="G108" s="101">
        <f t="shared" si="5"/>
        <v>30</v>
      </c>
      <c r="H108" s="194">
        <f t="shared" si="6"/>
        <v>0</v>
      </c>
      <c r="I108" s="91" t="str">
        <f t="shared" si="7"/>
        <v/>
      </c>
      <c r="J108" s="91" t="str">
        <f t="shared" si="8"/>
        <v/>
      </c>
      <c r="K108" s="91">
        <f t="shared" ref="K108:L108" si="132">IF($B108&gt;4*$E$36,H108,H108*(1/3+$B108/(2*$E$36)/3))</f>
        <v>0</v>
      </c>
      <c r="L108" s="91" t="str">
        <f t="shared" si="132"/>
        <v/>
      </c>
      <c r="M108" s="91">
        <f t="shared" si="10"/>
        <v>3.000008483</v>
      </c>
      <c r="N108" s="91">
        <f t="shared" si="11"/>
        <v>37.38291821</v>
      </c>
    </row>
    <row r="109" ht="12.75" hidden="1" customHeight="1">
      <c r="A109" s="170">
        <f t="shared" ref="A109:B109" si="133">+A108+1</f>
        <v>63</v>
      </c>
      <c r="B109" s="170">
        <f t="shared" si="133"/>
        <v>62.5</v>
      </c>
      <c r="C109" s="170">
        <v>1.0</v>
      </c>
      <c r="D109" s="95">
        <f t="shared" si="3"/>
        <v>105</v>
      </c>
      <c r="E109" s="193">
        <f t="shared" si="13"/>
        <v>4.214409722</v>
      </c>
      <c r="F109" s="131">
        <f t="shared" si="4"/>
        <v>4.214409722</v>
      </c>
      <c r="G109" s="101">
        <f t="shared" si="5"/>
        <v>30</v>
      </c>
      <c r="H109" s="194">
        <f t="shared" si="6"/>
        <v>0</v>
      </c>
      <c r="I109" s="91" t="str">
        <f t="shared" si="7"/>
        <v/>
      </c>
      <c r="J109" s="91" t="str">
        <f t="shared" si="8"/>
        <v/>
      </c>
      <c r="K109" s="91">
        <f t="shared" ref="K109:L109" si="134">IF($B109&gt;4*$E$36,H109,H109*(1/3+$B109/(2*$E$36)/3))</f>
        <v>0</v>
      </c>
      <c r="L109" s="91" t="str">
        <f t="shared" si="134"/>
        <v/>
      </c>
      <c r="M109" s="91">
        <f t="shared" si="10"/>
        <v>3.000008483</v>
      </c>
      <c r="N109" s="91">
        <f t="shared" si="11"/>
        <v>37.92979475</v>
      </c>
    </row>
    <row r="110" ht="12.75" hidden="1" customHeight="1">
      <c r="A110" s="170">
        <f t="shared" ref="A110:B110" si="135">+A109+1</f>
        <v>64</v>
      </c>
      <c r="B110" s="170">
        <f t="shared" si="135"/>
        <v>63.5</v>
      </c>
      <c r="C110" s="170">
        <v>1.0</v>
      </c>
      <c r="D110" s="95">
        <f t="shared" si="3"/>
        <v>105</v>
      </c>
      <c r="E110" s="193">
        <f t="shared" si="13"/>
        <v>4.275173611</v>
      </c>
      <c r="F110" s="131">
        <f t="shared" si="4"/>
        <v>4.275173611</v>
      </c>
      <c r="G110" s="101">
        <f t="shared" si="5"/>
        <v>30</v>
      </c>
      <c r="H110" s="194">
        <f t="shared" si="6"/>
        <v>0</v>
      </c>
      <c r="I110" s="91" t="str">
        <f t="shared" si="7"/>
        <v/>
      </c>
      <c r="J110" s="91" t="str">
        <f t="shared" si="8"/>
        <v/>
      </c>
      <c r="K110" s="91">
        <f t="shared" ref="K110:L110" si="136">IF($B110&gt;4*$E$36,H110,H110*(1/3+$B110/(2*$E$36)/3))</f>
        <v>0</v>
      </c>
      <c r="L110" s="91" t="str">
        <f t="shared" si="136"/>
        <v/>
      </c>
      <c r="M110" s="91">
        <f t="shared" si="10"/>
        <v>3.000008483</v>
      </c>
      <c r="N110" s="91">
        <f t="shared" si="11"/>
        <v>38.4766713</v>
      </c>
    </row>
    <row r="111" ht="12.75" hidden="1" customHeight="1">
      <c r="A111" s="170">
        <f t="shared" ref="A111:B111" si="137">+A110+1</f>
        <v>65</v>
      </c>
      <c r="B111" s="170">
        <f t="shared" si="137"/>
        <v>64.5</v>
      </c>
      <c r="C111" s="170">
        <v>1.0</v>
      </c>
      <c r="D111" s="95">
        <f t="shared" si="3"/>
        <v>105</v>
      </c>
      <c r="E111" s="193">
        <f t="shared" si="13"/>
        <v>4.3359375</v>
      </c>
      <c r="F111" s="131">
        <f t="shared" si="4"/>
        <v>4.3359375</v>
      </c>
      <c r="G111" s="101">
        <f t="shared" si="5"/>
        <v>30</v>
      </c>
      <c r="H111" s="194">
        <f t="shared" si="6"/>
        <v>0</v>
      </c>
      <c r="I111" s="91" t="str">
        <f t="shared" si="7"/>
        <v/>
      </c>
      <c r="J111" s="91" t="str">
        <f t="shared" si="8"/>
        <v/>
      </c>
      <c r="K111" s="91">
        <f t="shared" ref="K111:L111" si="138">IF($B111&gt;4*$E$36,H111,H111*(1/3+$B111/(2*$E$36)/3))</f>
        <v>0</v>
      </c>
      <c r="L111" s="91" t="str">
        <f t="shared" si="138"/>
        <v/>
      </c>
      <c r="M111" s="91">
        <f t="shared" si="10"/>
        <v>3.000008483</v>
      </c>
      <c r="N111" s="91">
        <f t="shared" si="11"/>
        <v>39.02354784</v>
      </c>
    </row>
    <row r="112" ht="12.75" hidden="1" customHeight="1">
      <c r="A112" s="170">
        <f t="shared" ref="A112:B112" si="139">+A111+1</f>
        <v>66</v>
      </c>
      <c r="B112" s="170">
        <f t="shared" si="139"/>
        <v>65.5</v>
      </c>
      <c r="C112" s="170">
        <v>1.0</v>
      </c>
      <c r="D112" s="95">
        <f t="shared" si="3"/>
        <v>105</v>
      </c>
      <c r="E112" s="193">
        <f t="shared" si="13"/>
        <v>4.396701389</v>
      </c>
      <c r="F112" s="131">
        <f t="shared" si="4"/>
        <v>4.396701389</v>
      </c>
      <c r="G112" s="101">
        <f t="shared" si="5"/>
        <v>30</v>
      </c>
      <c r="H112" s="194">
        <f t="shared" si="6"/>
        <v>0</v>
      </c>
      <c r="I112" s="91" t="str">
        <f t="shared" si="7"/>
        <v/>
      </c>
      <c r="J112" s="91" t="str">
        <f t="shared" si="8"/>
        <v/>
      </c>
      <c r="K112" s="91">
        <f t="shared" ref="K112:L112" si="140">IF($B112&gt;4*$E$36,H112,H112*(1/3+$B112/(2*$E$36)/3))</f>
        <v>0</v>
      </c>
      <c r="L112" s="91" t="str">
        <f t="shared" si="140"/>
        <v/>
      </c>
      <c r="M112" s="91">
        <f t="shared" si="10"/>
        <v>3.000008483</v>
      </c>
      <c r="N112" s="91">
        <f t="shared" si="11"/>
        <v>39.57042439</v>
      </c>
    </row>
    <row r="113" ht="12.75" hidden="1" customHeight="1">
      <c r="A113" s="170">
        <f t="shared" ref="A113:B113" si="141">+A112+1</f>
        <v>67</v>
      </c>
      <c r="B113" s="170">
        <f t="shared" si="141"/>
        <v>66.5</v>
      </c>
      <c r="C113" s="170">
        <v>1.0</v>
      </c>
      <c r="D113" s="95">
        <f t="shared" si="3"/>
        <v>105</v>
      </c>
      <c r="E113" s="193">
        <f t="shared" si="13"/>
        <v>4.457465278</v>
      </c>
      <c r="F113" s="131">
        <f t="shared" si="4"/>
        <v>4.457465278</v>
      </c>
      <c r="G113" s="101">
        <f t="shared" si="5"/>
        <v>30</v>
      </c>
      <c r="H113" s="194">
        <f t="shared" si="6"/>
        <v>0</v>
      </c>
      <c r="I113" s="91" t="str">
        <f t="shared" si="7"/>
        <v/>
      </c>
      <c r="J113" s="91" t="str">
        <f t="shared" si="8"/>
        <v/>
      </c>
      <c r="K113" s="91">
        <f t="shared" ref="K113:L113" si="142">IF($B113&gt;4*$E$36,H113,H113*(1/3+$B113/(2*$E$36)/3))</f>
        <v>0</v>
      </c>
      <c r="L113" s="91" t="str">
        <f t="shared" si="142"/>
        <v/>
      </c>
      <c r="M113" s="91">
        <f t="shared" si="10"/>
        <v>3.000008483</v>
      </c>
      <c r="N113" s="91">
        <f t="shared" si="11"/>
        <v>40.11730094</v>
      </c>
    </row>
    <row r="114" ht="12.75" hidden="1" customHeight="1">
      <c r="A114" s="170">
        <f t="shared" ref="A114:B114" si="143">+A113+1</f>
        <v>68</v>
      </c>
      <c r="B114" s="170">
        <f t="shared" si="143"/>
        <v>67.5</v>
      </c>
      <c r="C114" s="170">
        <v>1.0</v>
      </c>
      <c r="D114" s="95">
        <f t="shared" si="3"/>
        <v>105</v>
      </c>
      <c r="E114" s="193">
        <f t="shared" si="13"/>
        <v>4.518229167</v>
      </c>
      <c r="F114" s="131">
        <f t="shared" si="4"/>
        <v>4.518229167</v>
      </c>
      <c r="G114" s="101">
        <f t="shared" si="5"/>
        <v>30</v>
      </c>
      <c r="H114" s="194">
        <f t="shared" si="6"/>
        <v>0</v>
      </c>
      <c r="I114" s="91" t="str">
        <f t="shared" si="7"/>
        <v/>
      </c>
      <c r="J114" s="91" t="str">
        <f t="shared" si="8"/>
        <v/>
      </c>
      <c r="K114" s="91">
        <f t="shared" ref="K114:L114" si="144">IF($B114&gt;4*$E$36,H114,H114*(1/3+$B114/(2*$E$36)/3))</f>
        <v>0</v>
      </c>
      <c r="L114" s="91" t="str">
        <f t="shared" si="144"/>
        <v/>
      </c>
      <c r="M114" s="91">
        <f t="shared" si="10"/>
        <v>3.000008483</v>
      </c>
      <c r="N114" s="91">
        <f t="shared" si="11"/>
        <v>40.66417748</v>
      </c>
    </row>
    <row r="115" ht="12.75" hidden="1" customHeight="1">
      <c r="A115" s="170">
        <f t="shared" ref="A115:B115" si="145">+A114+1</f>
        <v>69</v>
      </c>
      <c r="B115" s="170">
        <f t="shared" si="145"/>
        <v>68.5</v>
      </c>
      <c r="C115" s="170">
        <v>1.0</v>
      </c>
      <c r="D115" s="95">
        <f t="shared" si="3"/>
        <v>105</v>
      </c>
      <c r="E115" s="193">
        <f t="shared" si="13"/>
        <v>4.578993056</v>
      </c>
      <c r="F115" s="131">
        <f t="shared" si="4"/>
        <v>4.578993056</v>
      </c>
      <c r="G115" s="101">
        <f t="shared" si="5"/>
        <v>30</v>
      </c>
      <c r="H115" s="194">
        <f t="shared" si="6"/>
        <v>0</v>
      </c>
      <c r="I115" s="91" t="str">
        <f t="shared" si="7"/>
        <v/>
      </c>
      <c r="J115" s="91" t="str">
        <f t="shared" si="8"/>
        <v/>
      </c>
      <c r="K115" s="91">
        <f t="shared" ref="K115:L115" si="146">IF($B115&gt;4*$E$36,H115,H115*(1/3+$B115/(2*$E$36)/3))</f>
        <v>0</v>
      </c>
      <c r="L115" s="91" t="str">
        <f t="shared" si="146"/>
        <v/>
      </c>
      <c r="M115" s="91">
        <f t="shared" si="10"/>
        <v>3.000008483</v>
      </c>
      <c r="N115" s="91">
        <f t="shared" si="11"/>
        <v>41.21105403</v>
      </c>
    </row>
    <row r="116" ht="12.75" hidden="1" customHeight="1">
      <c r="A116" s="170">
        <f t="shared" ref="A116:B116" si="147">+A115+1</f>
        <v>70</v>
      </c>
      <c r="B116" s="170">
        <f t="shared" si="147"/>
        <v>69.5</v>
      </c>
      <c r="C116" s="170">
        <v>1.0</v>
      </c>
      <c r="D116" s="95">
        <f t="shared" si="3"/>
        <v>105</v>
      </c>
      <c r="E116" s="193">
        <f t="shared" si="13"/>
        <v>4.639756944</v>
      </c>
      <c r="F116" s="131">
        <f t="shared" si="4"/>
        <v>4.639756944</v>
      </c>
      <c r="G116" s="101">
        <f t="shared" si="5"/>
        <v>30</v>
      </c>
      <c r="H116" s="194">
        <f t="shared" si="6"/>
        <v>0</v>
      </c>
      <c r="I116" s="91" t="str">
        <f t="shared" si="7"/>
        <v/>
      </c>
      <c r="J116" s="91" t="str">
        <f t="shared" si="8"/>
        <v/>
      </c>
      <c r="K116" s="91">
        <f t="shared" ref="K116:L116" si="148">IF($B116&gt;4*$E$36,H116,H116*(1/3+$B116/(2*$E$36)/3))</f>
        <v>0</v>
      </c>
      <c r="L116" s="91" t="str">
        <f t="shared" si="148"/>
        <v/>
      </c>
      <c r="M116" s="91">
        <f t="shared" si="10"/>
        <v>3.000008483</v>
      </c>
      <c r="N116" s="91">
        <f t="shared" si="11"/>
        <v>41.75793058</v>
      </c>
    </row>
    <row r="117" ht="12.75" hidden="1" customHeight="1">
      <c r="A117" s="170">
        <f t="shared" ref="A117:B117" si="149">+A116+1</f>
        <v>71</v>
      </c>
      <c r="B117" s="170">
        <f t="shared" si="149"/>
        <v>70.5</v>
      </c>
      <c r="C117" s="170">
        <v>1.0</v>
      </c>
      <c r="D117" s="95">
        <f t="shared" si="3"/>
        <v>105</v>
      </c>
      <c r="E117" s="193">
        <f t="shared" si="13"/>
        <v>4.700520833</v>
      </c>
      <c r="F117" s="131">
        <f t="shared" si="4"/>
        <v>4.700520833</v>
      </c>
      <c r="G117" s="101">
        <f t="shared" si="5"/>
        <v>30</v>
      </c>
      <c r="H117" s="194">
        <f t="shared" si="6"/>
        <v>0</v>
      </c>
      <c r="I117" s="91" t="str">
        <f t="shared" si="7"/>
        <v/>
      </c>
      <c r="J117" s="91" t="str">
        <f t="shared" si="8"/>
        <v/>
      </c>
      <c r="K117" s="91">
        <f t="shared" ref="K117:L117" si="150">IF($B117&gt;4*$E$36,H117,H117*(1/3+$B117/(2*$E$36)/3))</f>
        <v>0</v>
      </c>
      <c r="L117" s="91" t="str">
        <f t="shared" si="150"/>
        <v/>
      </c>
      <c r="M117" s="91">
        <f t="shared" si="10"/>
        <v>3.000008483</v>
      </c>
      <c r="N117" s="91">
        <f t="shared" si="11"/>
        <v>42.30480712</v>
      </c>
    </row>
    <row r="118" ht="12.75" hidden="1" customHeight="1">
      <c r="A118" s="170">
        <f t="shared" ref="A118:B118" si="151">+A117+1</f>
        <v>72</v>
      </c>
      <c r="B118" s="170">
        <f t="shared" si="151"/>
        <v>71.5</v>
      </c>
      <c r="C118" s="170">
        <v>1.0</v>
      </c>
      <c r="D118" s="95">
        <f t="shared" si="3"/>
        <v>105</v>
      </c>
      <c r="E118" s="193">
        <f t="shared" si="13"/>
        <v>4.761284722</v>
      </c>
      <c r="F118" s="131">
        <f t="shared" si="4"/>
        <v>4.761284722</v>
      </c>
      <c r="G118" s="101">
        <f t="shared" si="5"/>
        <v>30</v>
      </c>
      <c r="H118" s="194">
        <f t="shared" si="6"/>
        <v>0</v>
      </c>
      <c r="I118" s="91" t="str">
        <f t="shared" si="7"/>
        <v/>
      </c>
      <c r="J118" s="91" t="str">
        <f t="shared" si="8"/>
        <v/>
      </c>
      <c r="K118" s="91">
        <f t="shared" ref="K118:L118" si="152">IF($B118&gt;4*$E$36,H118,H118*(1/3+$B118/(2*$E$36)/3))</f>
        <v>0</v>
      </c>
      <c r="L118" s="91" t="str">
        <f t="shared" si="152"/>
        <v/>
      </c>
      <c r="M118" s="91">
        <f t="shared" si="10"/>
        <v>3.000008483</v>
      </c>
      <c r="N118" s="91">
        <f t="shared" si="11"/>
        <v>42.85168367</v>
      </c>
    </row>
    <row r="119" ht="12.75" hidden="1" customHeight="1">
      <c r="A119" s="170">
        <f t="shared" ref="A119:B119" si="153">+A118+1</f>
        <v>73</v>
      </c>
      <c r="B119" s="170">
        <f t="shared" si="153"/>
        <v>72.5</v>
      </c>
      <c r="C119" s="170">
        <v>1.0</v>
      </c>
      <c r="D119" s="95">
        <f t="shared" si="3"/>
        <v>105</v>
      </c>
      <c r="E119" s="193">
        <f t="shared" si="13"/>
        <v>4.822048611</v>
      </c>
      <c r="F119" s="131">
        <f t="shared" si="4"/>
        <v>4.822048611</v>
      </c>
      <c r="G119" s="101">
        <f t="shared" si="5"/>
        <v>30</v>
      </c>
      <c r="H119" s="194">
        <f t="shared" si="6"/>
        <v>0</v>
      </c>
      <c r="I119" s="91" t="str">
        <f t="shared" si="7"/>
        <v/>
      </c>
      <c r="J119" s="91" t="str">
        <f t="shared" si="8"/>
        <v/>
      </c>
      <c r="K119" s="91">
        <f t="shared" ref="K119:L119" si="154">IF($B119&gt;4*$E$36,H119,H119*(1/3+$B119/(2*$E$36)/3))</f>
        <v>0</v>
      </c>
      <c r="L119" s="91" t="str">
        <f t="shared" si="154"/>
        <v/>
      </c>
      <c r="M119" s="91">
        <f t="shared" si="10"/>
        <v>3.000008483</v>
      </c>
      <c r="N119" s="91">
        <f t="shared" si="11"/>
        <v>43.39856022</v>
      </c>
    </row>
    <row r="120" ht="12.75" hidden="1" customHeight="1">
      <c r="A120" s="170">
        <f t="shared" ref="A120:B120" si="155">+A119+1</f>
        <v>74</v>
      </c>
      <c r="B120" s="170">
        <f t="shared" si="155"/>
        <v>73.5</v>
      </c>
      <c r="C120" s="170">
        <v>1.0</v>
      </c>
      <c r="D120" s="95">
        <f t="shared" si="3"/>
        <v>105</v>
      </c>
      <c r="E120" s="193">
        <f t="shared" si="13"/>
        <v>4.8828125</v>
      </c>
      <c r="F120" s="131">
        <f t="shared" si="4"/>
        <v>4.8828125</v>
      </c>
      <c r="G120" s="101">
        <f t="shared" si="5"/>
        <v>30</v>
      </c>
      <c r="H120" s="194">
        <f t="shared" si="6"/>
        <v>0</v>
      </c>
      <c r="I120" s="91" t="str">
        <f t="shared" si="7"/>
        <v/>
      </c>
      <c r="J120" s="91" t="str">
        <f t="shared" si="8"/>
        <v/>
      </c>
      <c r="K120" s="91">
        <f t="shared" ref="K120:L120" si="156">IF($B120&gt;4*$E$36,H120,H120*(1/3+$B120/(2*$E$36)/3))</f>
        <v>0</v>
      </c>
      <c r="L120" s="91" t="str">
        <f t="shared" si="156"/>
        <v/>
      </c>
      <c r="M120" s="91">
        <f t="shared" si="10"/>
        <v>3.000008483</v>
      </c>
      <c r="N120" s="91">
        <f t="shared" si="11"/>
        <v>43.94543676</v>
      </c>
    </row>
    <row r="121" ht="12.75" hidden="1" customHeight="1">
      <c r="A121" s="170">
        <f t="shared" ref="A121:B121" si="157">+A120+1</f>
        <v>75</v>
      </c>
      <c r="B121" s="170">
        <f t="shared" si="157"/>
        <v>74.5</v>
      </c>
      <c r="C121" s="170">
        <v>1.0</v>
      </c>
      <c r="D121" s="95">
        <f t="shared" si="3"/>
        <v>105</v>
      </c>
      <c r="E121" s="193">
        <f t="shared" si="13"/>
        <v>4.943576389</v>
      </c>
      <c r="F121" s="131">
        <f t="shared" si="4"/>
        <v>4.943576389</v>
      </c>
      <c r="G121" s="101">
        <f t="shared" si="5"/>
        <v>30</v>
      </c>
      <c r="H121" s="194">
        <f t="shared" si="6"/>
        <v>0</v>
      </c>
      <c r="I121" s="91" t="str">
        <f t="shared" si="7"/>
        <v/>
      </c>
      <c r="J121" s="91" t="str">
        <f t="shared" si="8"/>
        <v/>
      </c>
      <c r="K121" s="91">
        <f t="shared" ref="K121:L121" si="158">IF($B121&gt;4*$E$36,H121,H121*(1/3+$B121/(2*$E$36)/3))</f>
        <v>0</v>
      </c>
      <c r="L121" s="91" t="str">
        <f t="shared" si="158"/>
        <v/>
      </c>
      <c r="M121" s="91">
        <f t="shared" si="10"/>
        <v>3.000008483</v>
      </c>
      <c r="N121" s="91">
        <f t="shared" si="11"/>
        <v>44.49231331</v>
      </c>
    </row>
    <row r="122" ht="12.75" hidden="1" customHeight="1">
      <c r="A122" s="170">
        <f t="shared" ref="A122:B122" si="159">+A121+1</f>
        <v>76</v>
      </c>
      <c r="B122" s="170">
        <f t="shared" si="159"/>
        <v>75.5</v>
      </c>
      <c r="C122" s="170">
        <v>1.0</v>
      </c>
      <c r="D122" s="95">
        <f t="shared" si="3"/>
        <v>105</v>
      </c>
      <c r="E122" s="193">
        <f t="shared" si="13"/>
        <v>5.004340278</v>
      </c>
      <c r="F122" s="131">
        <f t="shared" si="4"/>
        <v>5.004340278</v>
      </c>
      <c r="G122" s="101">
        <f t="shared" si="5"/>
        <v>30</v>
      </c>
      <c r="H122" s="194">
        <f t="shared" si="6"/>
        <v>0</v>
      </c>
      <c r="I122" s="91" t="str">
        <f t="shared" si="7"/>
        <v/>
      </c>
      <c r="J122" s="91" t="str">
        <f t="shared" si="8"/>
        <v/>
      </c>
      <c r="K122" s="91">
        <f t="shared" ref="K122:L122" si="160">IF($B122&gt;4*$E$36,H122,H122*(1/3+$B122/(2*$E$36)/3))</f>
        <v>0</v>
      </c>
      <c r="L122" s="91" t="str">
        <f t="shared" si="160"/>
        <v/>
      </c>
      <c r="M122" s="91">
        <f t="shared" si="10"/>
        <v>3.000008483</v>
      </c>
      <c r="N122" s="91">
        <f t="shared" si="11"/>
        <v>45.03918985</v>
      </c>
    </row>
    <row r="123" ht="12.75" hidden="1" customHeight="1">
      <c r="A123" s="170">
        <f t="shared" ref="A123:B123" si="161">+A122+1</f>
        <v>77</v>
      </c>
      <c r="B123" s="170">
        <f t="shared" si="161"/>
        <v>76.5</v>
      </c>
      <c r="C123" s="170">
        <v>1.0</v>
      </c>
      <c r="D123" s="95">
        <f t="shared" si="3"/>
        <v>105</v>
      </c>
      <c r="E123" s="193">
        <f t="shared" si="13"/>
        <v>5.065104167</v>
      </c>
      <c r="F123" s="131">
        <f t="shared" si="4"/>
        <v>5.065104167</v>
      </c>
      <c r="G123" s="101">
        <f t="shared" si="5"/>
        <v>30</v>
      </c>
      <c r="H123" s="194">
        <f t="shared" si="6"/>
        <v>0</v>
      </c>
      <c r="I123" s="91" t="str">
        <f t="shared" si="7"/>
        <v/>
      </c>
      <c r="J123" s="91" t="str">
        <f t="shared" si="8"/>
        <v/>
      </c>
      <c r="K123" s="91">
        <f t="shared" ref="K123:L123" si="162">IF($B123&gt;4*$E$36,H123,H123*(1/3+$B123/(2*$E$36)/3))</f>
        <v>0</v>
      </c>
      <c r="L123" s="91" t="str">
        <f t="shared" si="162"/>
        <v/>
      </c>
      <c r="M123" s="91">
        <f t="shared" si="10"/>
        <v>3.000008483</v>
      </c>
      <c r="N123" s="91">
        <f t="shared" si="11"/>
        <v>45.5860664</v>
      </c>
    </row>
    <row r="124" ht="12.75" hidden="1" customHeight="1">
      <c r="A124" s="170">
        <f t="shared" ref="A124:B124" si="163">+A123+1</f>
        <v>78</v>
      </c>
      <c r="B124" s="170">
        <f t="shared" si="163"/>
        <v>77.5</v>
      </c>
      <c r="C124" s="170">
        <v>1.0</v>
      </c>
      <c r="D124" s="95">
        <f t="shared" si="3"/>
        <v>105</v>
      </c>
      <c r="E124" s="193">
        <f t="shared" si="13"/>
        <v>5.125868056</v>
      </c>
      <c r="F124" s="131">
        <f t="shared" si="4"/>
        <v>5.125868056</v>
      </c>
      <c r="G124" s="101">
        <f t="shared" si="5"/>
        <v>30</v>
      </c>
      <c r="H124" s="194">
        <f t="shared" si="6"/>
        <v>0</v>
      </c>
      <c r="I124" s="91" t="str">
        <f t="shared" si="7"/>
        <v/>
      </c>
      <c r="J124" s="91" t="str">
        <f t="shared" si="8"/>
        <v/>
      </c>
      <c r="K124" s="91">
        <f t="shared" ref="K124:L124" si="164">IF($B124&gt;4*$E$36,H124,H124*(1/3+$B124/(2*$E$36)/3))</f>
        <v>0</v>
      </c>
      <c r="L124" s="91" t="str">
        <f t="shared" si="164"/>
        <v/>
      </c>
      <c r="M124" s="91">
        <f t="shared" si="10"/>
        <v>3.000008483</v>
      </c>
      <c r="N124" s="91">
        <f t="shared" si="11"/>
        <v>46.13294295</v>
      </c>
    </row>
    <row r="125" ht="12.75" hidden="1" customHeight="1">
      <c r="A125" s="170">
        <f t="shared" ref="A125:B125" si="165">+A124+1</f>
        <v>79</v>
      </c>
      <c r="B125" s="170">
        <f t="shared" si="165"/>
        <v>78.5</v>
      </c>
      <c r="C125" s="170">
        <v>1.0</v>
      </c>
      <c r="D125" s="95">
        <f t="shared" si="3"/>
        <v>105</v>
      </c>
      <c r="E125" s="193">
        <f t="shared" si="13"/>
        <v>5.186631944</v>
      </c>
      <c r="F125" s="131">
        <f t="shared" si="4"/>
        <v>5.186631944</v>
      </c>
      <c r="G125" s="101">
        <f t="shared" si="5"/>
        <v>30</v>
      </c>
      <c r="H125" s="194">
        <f t="shared" si="6"/>
        <v>0</v>
      </c>
      <c r="I125" s="91" t="str">
        <f t="shared" si="7"/>
        <v/>
      </c>
      <c r="J125" s="91" t="str">
        <f t="shared" si="8"/>
        <v/>
      </c>
      <c r="K125" s="91">
        <f t="shared" ref="K125:L125" si="166">IF($B125&gt;4*$E$36,H125,H125*(1/3+$B125/(2*$E$36)/3))</f>
        <v>0</v>
      </c>
      <c r="L125" s="91" t="str">
        <f t="shared" si="166"/>
        <v/>
      </c>
      <c r="M125" s="91">
        <f t="shared" si="10"/>
        <v>3.000008483</v>
      </c>
      <c r="N125" s="91">
        <f t="shared" si="11"/>
        <v>46.67981949</v>
      </c>
    </row>
    <row r="126" ht="12.75" hidden="1" customHeight="1">
      <c r="A126" s="170">
        <f t="shared" ref="A126:B126" si="167">+A125+1</f>
        <v>80</v>
      </c>
      <c r="B126" s="170">
        <f t="shared" si="167"/>
        <v>79.5</v>
      </c>
      <c r="C126" s="170">
        <v>1.0</v>
      </c>
      <c r="D126" s="95">
        <f t="shared" si="3"/>
        <v>105</v>
      </c>
      <c r="E126" s="193">
        <f t="shared" si="13"/>
        <v>5.247395833</v>
      </c>
      <c r="F126" s="131">
        <f t="shared" si="4"/>
        <v>5.247395833</v>
      </c>
      <c r="G126" s="101">
        <f t="shared" si="5"/>
        <v>30</v>
      </c>
      <c r="H126" s="194">
        <f t="shared" si="6"/>
        <v>0</v>
      </c>
      <c r="I126" s="91" t="str">
        <f t="shared" si="7"/>
        <v/>
      </c>
      <c r="J126" s="91" t="str">
        <f t="shared" si="8"/>
        <v/>
      </c>
      <c r="K126" s="91">
        <f t="shared" ref="K126:L126" si="168">IF($B126&gt;4*$E$36,H126,H126*(1/3+$B126/(2*$E$36)/3))</f>
        <v>0</v>
      </c>
      <c r="L126" s="91" t="str">
        <f t="shared" si="168"/>
        <v/>
      </c>
      <c r="M126" s="91">
        <f t="shared" si="10"/>
        <v>3.000008483</v>
      </c>
      <c r="N126" s="91">
        <f t="shared" si="11"/>
        <v>47.22669604</v>
      </c>
    </row>
    <row r="127" ht="12.75" hidden="1" customHeight="1">
      <c r="A127" s="170">
        <f t="shared" ref="A127:B127" si="169">+A126+1</f>
        <v>81</v>
      </c>
      <c r="B127" s="170">
        <f t="shared" si="169"/>
        <v>80.5</v>
      </c>
      <c r="C127" s="170">
        <v>1.0</v>
      </c>
      <c r="D127" s="95">
        <f t="shared" si="3"/>
        <v>105</v>
      </c>
      <c r="E127" s="193">
        <f t="shared" si="13"/>
        <v>5.308159722</v>
      </c>
      <c r="F127" s="131">
        <f t="shared" si="4"/>
        <v>5.308159722</v>
      </c>
      <c r="G127" s="101">
        <f t="shared" si="5"/>
        <v>30</v>
      </c>
      <c r="H127" s="194">
        <f t="shared" si="6"/>
        <v>0</v>
      </c>
      <c r="I127" s="91" t="str">
        <f t="shared" si="7"/>
        <v/>
      </c>
      <c r="J127" s="91" t="str">
        <f t="shared" si="8"/>
        <v/>
      </c>
      <c r="K127" s="91">
        <f t="shared" ref="K127:L127" si="170">IF($B127&gt;4*$E$36,H127,H127*(1/3+$B127/(2*$E$36)/3))</f>
        <v>0</v>
      </c>
      <c r="L127" s="91" t="str">
        <f t="shared" si="170"/>
        <v/>
      </c>
      <c r="M127" s="91">
        <f t="shared" si="10"/>
        <v>3.000008483</v>
      </c>
      <c r="N127" s="91">
        <f t="shared" si="11"/>
        <v>47.77357259</v>
      </c>
    </row>
    <row r="128" ht="12.75" hidden="1" customHeight="1">
      <c r="A128" s="170">
        <f t="shared" ref="A128:B128" si="171">+A127+1</f>
        <v>82</v>
      </c>
      <c r="B128" s="170">
        <f t="shared" si="171"/>
        <v>81.5</v>
      </c>
      <c r="C128" s="170">
        <v>1.0</v>
      </c>
      <c r="D128" s="95">
        <f t="shared" si="3"/>
        <v>105</v>
      </c>
      <c r="E128" s="193">
        <f t="shared" si="13"/>
        <v>5.368923611</v>
      </c>
      <c r="F128" s="131">
        <f t="shared" si="4"/>
        <v>5.368923611</v>
      </c>
      <c r="G128" s="101">
        <f t="shared" si="5"/>
        <v>30</v>
      </c>
      <c r="H128" s="203">
        <f t="shared" si="6"/>
        <v>0</v>
      </c>
      <c r="I128" s="91" t="str">
        <f t="shared" si="7"/>
        <v/>
      </c>
      <c r="J128" s="91" t="str">
        <f t="shared" si="8"/>
        <v/>
      </c>
      <c r="K128" s="91">
        <f t="shared" ref="K128:L128" si="172">IF($B128&gt;4*$E$36,H128,H128*(1/3+$B128/(2*$E$36)/3))</f>
        <v>0</v>
      </c>
      <c r="L128" s="91" t="str">
        <f t="shared" si="172"/>
        <v/>
      </c>
      <c r="M128" s="91">
        <f t="shared" si="10"/>
        <v>3.000008483</v>
      </c>
      <c r="N128" s="91">
        <f t="shared" si="11"/>
        <v>48.32044913</v>
      </c>
    </row>
    <row r="129" ht="12.75" hidden="1" customHeight="1">
      <c r="A129" s="170">
        <f t="shared" ref="A129:B129" si="173">+A128+1</f>
        <v>83</v>
      </c>
      <c r="B129" s="170">
        <f t="shared" si="173"/>
        <v>82.5</v>
      </c>
      <c r="C129" s="170">
        <v>1.0</v>
      </c>
      <c r="D129" s="95">
        <f t="shared" si="3"/>
        <v>105</v>
      </c>
      <c r="E129" s="193">
        <f t="shared" si="13"/>
        <v>5.4296875</v>
      </c>
      <c r="F129" s="131">
        <f t="shared" si="4"/>
        <v>5.4296875</v>
      </c>
      <c r="G129" s="101">
        <f t="shared" si="5"/>
        <v>30</v>
      </c>
      <c r="H129" s="203">
        <f t="shared" si="6"/>
        <v>0</v>
      </c>
      <c r="I129" s="91" t="str">
        <f t="shared" si="7"/>
        <v/>
      </c>
      <c r="J129" s="91" t="str">
        <f t="shared" si="8"/>
        <v/>
      </c>
      <c r="K129" s="91">
        <f t="shared" ref="K129:L129" si="174">IF($B129&gt;4*$E$36,H129,H129*(1/3+$B129/(2*$E$36)/3))</f>
        <v>0</v>
      </c>
      <c r="L129" s="91" t="str">
        <f t="shared" si="174"/>
        <v/>
      </c>
      <c r="M129" s="91">
        <f t="shared" si="10"/>
        <v>3.000008483</v>
      </c>
      <c r="N129" s="91">
        <f t="shared" si="11"/>
        <v>48.86732568</v>
      </c>
    </row>
    <row r="130" ht="12.75" hidden="1" customHeight="1">
      <c r="A130" s="170">
        <f t="shared" ref="A130:B130" si="175">+A129+1</f>
        <v>84</v>
      </c>
      <c r="B130" s="170">
        <f t="shared" si="175"/>
        <v>83.5</v>
      </c>
      <c r="C130" s="170">
        <v>1.0</v>
      </c>
      <c r="D130" s="95">
        <f t="shared" si="3"/>
        <v>105</v>
      </c>
      <c r="E130" s="193">
        <f t="shared" si="13"/>
        <v>5.490451389</v>
      </c>
      <c r="F130" s="131">
        <f t="shared" si="4"/>
        <v>5.490451389</v>
      </c>
      <c r="G130" s="101">
        <f t="shared" si="5"/>
        <v>30</v>
      </c>
      <c r="H130" s="203">
        <f t="shared" si="6"/>
        <v>0</v>
      </c>
      <c r="I130" s="91" t="str">
        <f t="shared" si="7"/>
        <v/>
      </c>
      <c r="J130" s="91" t="str">
        <f t="shared" si="8"/>
        <v/>
      </c>
      <c r="K130" s="91">
        <f t="shared" ref="K130:L130" si="176">IF($B130&gt;4*$E$36,H130,H130*(1/3+$B130/(2*$E$36)/3))</f>
        <v>0</v>
      </c>
      <c r="L130" s="91" t="str">
        <f t="shared" si="176"/>
        <v/>
      </c>
      <c r="M130" s="91">
        <f t="shared" si="10"/>
        <v>3.000008483</v>
      </c>
      <c r="N130" s="91">
        <f t="shared" si="11"/>
        <v>49.41420223</v>
      </c>
    </row>
    <row r="131" ht="12.75" hidden="1" customHeight="1">
      <c r="A131" s="170">
        <f t="shared" ref="A131:B131" si="177">+A130+1</f>
        <v>85</v>
      </c>
      <c r="B131" s="170">
        <f t="shared" si="177"/>
        <v>84.5</v>
      </c>
      <c r="C131" s="170">
        <v>1.0</v>
      </c>
      <c r="D131" s="95">
        <f t="shared" si="3"/>
        <v>105</v>
      </c>
      <c r="E131" s="193">
        <f t="shared" si="13"/>
        <v>5.551215278</v>
      </c>
      <c r="F131" s="131">
        <f t="shared" si="4"/>
        <v>5.551215278</v>
      </c>
      <c r="G131" s="101">
        <f t="shared" si="5"/>
        <v>30</v>
      </c>
      <c r="H131" s="203">
        <f t="shared" si="6"/>
        <v>0</v>
      </c>
      <c r="I131" s="91" t="str">
        <f t="shared" si="7"/>
        <v/>
      </c>
      <c r="J131" s="91" t="str">
        <f t="shared" si="8"/>
        <v/>
      </c>
      <c r="K131" s="91">
        <f t="shared" ref="K131:L131" si="178">IF($B131&gt;4*$E$36,H131,H131*(1/3+$B131/(2*$E$36)/3))</f>
        <v>0</v>
      </c>
      <c r="L131" s="91" t="str">
        <f t="shared" si="178"/>
        <v/>
      </c>
      <c r="M131" s="91">
        <f t="shared" si="10"/>
        <v>3.000008483</v>
      </c>
      <c r="N131" s="91">
        <f t="shared" si="11"/>
        <v>49.96107877</v>
      </c>
    </row>
    <row r="132" ht="12.75" hidden="1" customHeight="1">
      <c r="A132" s="170">
        <f t="shared" ref="A132:B132" si="179">+A131+1</f>
        <v>86</v>
      </c>
      <c r="B132" s="170">
        <f t="shared" si="179"/>
        <v>85.5</v>
      </c>
      <c r="C132" s="170">
        <v>1.0</v>
      </c>
      <c r="D132" s="95">
        <f t="shared" si="3"/>
        <v>105</v>
      </c>
      <c r="E132" s="193">
        <f t="shared" si="13"/>
        <v>5.611979167</v>
      </c>
      <c r="F132" s="131">
        <f t="shared" si="4"/>
        <v>5.611979167</v>
      </c>
      <c r="G132" s="101">
        <f t="shared" si="5"/>
        <v>30</v>
      </c>
      <c r="H132" s="203">
        <f t="shared" si="6"/>
        <v>0</v>
      </c>
      <c r="I132" s="91" t="str">
        <f t="shared" si="7"/>
        <v/>
      </c>
      <c r="J132" s="91" t="str">
        <f t="shared" si="8"/>
        <v/>
      </c>
      <c r="K132" s="91">
        <f t="shared" ref="K132:L132" si="180">IF($B132&gt;4*$E$36,H132,H132*(1/3+$B132/(2*$E$36)/3))</f>
        <v>0</v>
      </c>
      <c r="L132" s="91" t="str">
        <f t="shared" si="180"/>
        <v/>
      </c>
      <c r="M132" s="91">
        <f t="shared" si="10"/>
        <v>3.000008483</v>
      </c>
      <c r="N132" s="91">
        <f t="shared" si="11"/>
        <v>50.50795532</v>
      </c>
    </row>
    <row r="133" ht="12.75" hidden="1" customHeight="1">
      <c r="A133" s="170">
        <f t="shared" ref="A133:B133" si="181">+A132+1</f>
        <v>87</v>
      </c>
      <c r="B133" s="170">
        <f t="shared" si="181"/>
        <v>86.5</v>
      </c>
      <c r="C133" s="170">
        <v>1.0</v>
      </c>
      <c r="D133" s="95">
        <f t="shared" si="3"/>
        <v>105</v>
      </c>
      <c r="E133" s="193">
        <f t="shared" si="13"/>
        <v>5.672743056</v>
      </c>
      <c r="F133" s="131">
        <f t="shared" si="4"/>
        <v>5.672743056</v>
      </c>
      <c r="G133" s="101">
        <f t="shared" si="5"/>
        <v>30</v>
      </c>
      <c r="H133" s="203">
        <f t="shared" si="6"/>
        <v>0</v>
      </c>
      <c r="I133" s="91" t="str">
        <f t="shared" si="7"/>
        <v/>
      </c>
      <c r="J133" s="91" t="str">
        <f t="shared" si="8"/>
        <v/>
      </c>
      <c r="K133" s="91">
        <f t="shared" ref="K133:L133" si="182">IF($B133&gt;4*$E$36,H133,H133*(1/3+$B133/(2*$E$36)/3))</f>
        <v>0</v>
      </c>
      <c r="L133" s="91" t="str">
        <f t="shared" si="182"/>
        <v/>
      </c>
      <c r="M133" s="91">
        <f t="shared" si="10"/>
        <v>3.000008483</v>
      </c>
      <c r="N133" s="91">
        <f t="shared" si="11"/>
        <v>51.05483186</v>
      </c>
    </row>
    <row r="134" ht="12.75" hidden="1" customHeight="1">
      <c r="A134" s="170">
        <f t="shared" ref="A134:B134" si="183">+A133+1</f>
        <v>88</v>
      </c>
      <c r="B134" s="170">
        <f t="shared" si="183"/>
        <v>87.5</v>
      </c>
      <c r="C134" s="170">
        <v>1.0</v>
      </c>
      <c r="D134" s="95">
        <f t="shared" si="3"/>
        <v>105</v>
      </c>
      <c r="E134" s="193">
        <f t="shared" si="13"/>
        <v>5.733506944</v>
      </c>
      <c r="F134" s="131">
        <f t="shared" si="4"/>
        <v>5.733506944</v>
      </c>
      <c r="G134" s="101">
        <f t="shared" si="5"/>
        <v>30</v>
      </c>
      <c r="H134" s="203">
        <f t="shared" si="6"/>
        <v>0</v>
      </c>
      <c r="I134" s="91" t="str">
        <f t="shared" si="7"/>
        <v/>
      </c>
      <c r="J134" s="91" t="str">
        <f t="shared" si="8"/>
        <v/>
      </c>
      <c r="K134" s="91">
        <f t="shared" ref="K134:L134" si="184">IF($B134&gt;4*$E$36,H134,H134*(1/3+$B134/(2*$E$36)/3))</f>
        <v>0</v>
      </c>
      <c r="L134" s="91" t="str">
        <f t="shared" si="184"/>
        <v/>
      </c>
      <c r="M134" s="91">
        <f t="shared" si="10"/>
        <v>3.000008483</v>
      </c>
      <c r="N134" s="91">
        <f t="shared" si="11"/>
        <v>51.60170841</v>
      </c>
    </row>
    <row r="135" ht="12.75" hidden="1" customHeight="1">
      <c r="A135" s="170">
        <f t="shared" ref="A135:B135" si="185">+A134+1</f>
        <v>89</v>
      </c>
      <c r="B135" s="170">
        <f t="shared" si="185"/>
        <v>88.5</v>
      </c>
      <c r="C135" s="170">
        <v>1.0</v>
      </c>
      <c r="D135" s="95">
        <f t="shared" si="3"/>
        <v>105</v>
      </c>
      <c r="E135" s="193">
        <f t="shared" si="13"/>
        <v>5.794270833</v>
      </c>
      <c r="F135" s="131">
        <f t="shared" si="4"/>
        <v>5.794270833</v>
      </c>
      <c r="G135" s="101">
        <f t="shared" si="5"/>
        <v>30</v>
      </c>
      <c r="H135" s="203">
        <f t="shared" si="6"/>
        <v>0</v>
      </c>
      <c r="I135" s="91" t="str">
        <f t="shared" si="7"/>
        <v/>
      </c>
      <c r="J135" s="91" t="str">
        <f t="shared" si="8"/>
        <v/>
      </c>
      <c r="K135" s="91">
        <f t="shared" ref="K135:L135" si="186">IF($B135&gt;4*$E$36,H135,H135*(1/3+$B135/(2*$E$36)/3))</f>
        <v>0</v>
      </c>
      <c r="L135" s="91" t="str">
        <f t="shared" si="186"/>
        <v/>
      </c>
      <c r="M135" s="91">
        <f t="shared" si="10"/>
        <v>3.000008483</v>
      </c>
      <c r="N135" s="91">
        <f t="shared" si="11"/>
        <v>52.14858496</v>
      </c>
    </row>
    <row r="136" ht="12.75" hidden="1" customHeight="1">
      <c r="A136" s="170">
        <f t="shared" ref="A136:B136" si="187">+A135+1</f>
        <v>90</v>
      </c>
      <c r="B136" s="170">
        <f t="shared" si="187"/>
        <v>89.5</v>
      </c>
      <c r="C136" s="170">
        <v>1.0</v>
      </c>
      <c r="D136" s="95">
        <f t="shared" si="3"/>
        <v>105</v>
      </c>
      <c r="E136" s="193">
        <f t="shared" si="13"/>
        <v>5.855034722</v>
      </c>
      <c r="F136" s="131">
        <f t="shared" si="4"/>
        <v>5.855034722</v>
      </c>
      <c r="G136" s="101">
        <f t="shared" si="5"/>
        <v>30</v>
      </c>
      <c r="H136" s="203">
        <f t="shared" si="6"/>
        <v>0</v>
      </c>
      <c r="I136" s="91" t="str">
        <f t="shared" si="7"/>
        <v/>
      </c>
      <c r="J136" s="91" t="str">
        <f t="shared" si="8"/>
        <v/>
      </c>
      <c r="K136" s="91">
        <f t="shared" ref="K136:L136" si="188">IF($B136&gt;4*$E$36,H136,H136*(1/3+$B136/(2*$E$36)/3))</f>
        <v>0</v>
      </c>
      <c r="L136" s="91" t="str">
        <f t="shared" si="188"/>
        <v/>
      </c>
      <c r="M136" s="91">
        <f t="shared" si="10"/>
        <v>3.000008483</v>
      </c>
      <c r="N136" s="91">
        <f t="shared" si="11"/>
        <v>52.6954615</v>
      </c>
    </row>
    <row r="137" ht="12.75" hidden="1" customHeight="1">
      <c r="A137" s="170">
        <f t="shared" ref="A137:B137" si="189">+A136+1</f>
        <v>91</v>
      </c>
      <c r="B137" s="170">
        <f t="shared" si="189"/>
        <v>90.5</v>
      </c>
      <c r="C137" s="170">
        <v>1.0</v>
      </c>
      <c r="D137" s="95">
        <f t="shared" si="3"/>
        <v>105</v>
      </c>
      <c r="E137" s="193">
        <f t="shared" si="13"/>
        <v>5.915798611</v>
      </c>
      <c r="F137" s="131">
        <f t="shared" si="4"/>
        <v>5.915798611</v>
      </c>
      <c r="G137" s="101">
        <f t="shared" si="5"/>
        <v>30</v>
      </c>
      <c r="H137" s="203">
        <f t="shared" si="6"/>
        <v>0</v>
      </c>
      <c r="I137" s="91" t="str">
        <f t="shared" si="7"/>
        <v/>
      </c>
      <c r="J137" s="91" t="str">
        <f t="shared" si="8"/>
        <v/>
      </c>
      <c r="K137" s="91">
        <f t="shared" ref="K137:L137" si="190">IF($B137&gt;4*$E$36,H137,H137*(1/3+$B137/(2*$E$36)/3))</f>
        <v>0</v>
      </c>
      <c r="L137" s="91" t="str">
        <f t="shared" si="190"/>
        <v/>
      </c>
      <c r="M137" s="91">
        <f t="shared" si="10"/>
        <v>3.000008483</v>
      </c>
      <c r="N137" s="91">
        <f t="shared" si="11"/>
        <v>53.24233805</v>
      </c>
    </row>
    <row r="138" ht="12.75" hidden="1" customHeight="1">
      <c r="A138" s="170">
        <f t="shared" ref="A138:B138" si="191">+A137+1</f>
        <v>92</v>
      </c>
      <c r="B138" s="170">
        <f t="shared" si="191"/>
        <v>91.5</v>
      </c>
      <c r="C138" s="170">
        <v>1.0</v>
      </c>
      <c r="D138" s="95">
        <f t="shared" si="3"/>
        <v>105</v>
      </c>
      <c r="E138" s="193">
        <f t="shared" si="13"/>
        <v>5.9765625</v>
      </c>
      <c r="F138" s="131">
        <f t="shared" si="4"/>
        <v>5.9765625</v>
      </c>
      <c r="G138" s="101">
        <f t="shared" si="5"/>
        <v>30</v>
      </c>
      <c r="H138" s="203">
        <f t="shared" si="6"/>
        <v>0</v>
      </c>
      <c r="I138" s="91" t="str">
        <f t="shared" si="7"/>
        <v/>
      </c>
      <c r="J138" s="91" t="str">
        <f t="shared" si="8"/>
        <v/>
      </c>
      <c r="K138" s="91">
        <f t="shared" ref="K138:L138" si="192">IF($B138&gt;4*$E$36,H138,H138*(1/3+$B138/(2*$E$36)/3))</f>
        <v>0</v>
      </c>
      <c r="L138" s="91" t="str">
        <f t="shared" si="192"/>
        <v/>
      </c>
      <c r="M138" s="91">
        <f t="shared" si="10"/>
        <v>3.000008483</v>
      </c>
      <c r="N138" s="91">
        <f t="shared" si="11"/>
        <v>53.7892146</v>
      </c>
    </row>
    <row r="139" ht="12.75" hidden="1" customHeight="1">
      <c r="A139" s="170">
        <f t="shared" ref="A139:B139" si="193">+A138+1</f>
        <v>93</v>
      </c>
      <c r="B139" s="170">
        <f t="shared" si="193"/>
        <v>92.5</v>
      </c>
      <c r="C139" s="170">
        <v>1.0</v>
      </c>
      <c r="D139" s="95">
        <f t="shared" si="3"/>
        <v>105</v>
      </c>
      <c r="E139" s="193">
        <f t="shared" si="13"/>
        <v>6.037326389</v>
      </c>
      <c r="F139" s="131">
        <f t="shared" si="4"/>
        <v>6.037326389</v>
      </c>
      <c r="G139" s="101">
        <f t="shared" si="5"/>
        <v>30</v>
      </c>
      <c r="H139" s="203">
        <f t="shared" si="6"/>
        <v>0</v>
      </c>
      <c r="I139" s="91" t="str">
        <f t="shared" si="7"/>
        <v/>
      </c>
      <c r="J139" s="91" t="str">
        <f t="shared" si="8"/>
        <v/>
      </c>
      <c r="K139" s="91">
        <f t="shared" ref="K139:L139" si="194">IF($B139&gt;4*$E$36,H139,H139*(1/3+$B139/(2*$E$36)/3))</f>
        <v>0</v>
      </c>
      <c r="L139" s="91" t="str">
        <f t="shared" si="194"/>
        <v/>
      </c>
      <c r="M139" s="91">
        <f t="shared" si="10"/>
        <v>3.000008483</v>
      </c>
      <c r="N139" s="91">
        <f t="shared" si="11"/>
        <v>54.33609114</v>
      </c>
    </row>
    <row r="140" ht="12.75" hidden="1" customHeight="1">
      <c r="A140" s="170">
        <f t="shared" ref="A140:B140" si="195">+A139+1</f>
        <v>94</v>
      </c>
      <c r="B140" s="170">
        <f t="shared" si="195"/>
        <v>93.5</v>
      </c>
      <c r="C140" s="170">
        <v>1.0</v>
      </c>
      <c r="D140" s="95">
        <f t="shared" si="3"/>
        <v>105</v>
      </c>
      <c r="E140" s="193">
        <f t="shared" si="13"/>
        <v>6.098090278</v>
      </c>
      <c r="F140" s="131">
        <f t="shared" si="4"/>
        <v>6.098090278</v>
      </c>
      <c r="G140" s="101">
        <f t="shared" si="5"/>
        <v>30</v>
      </c>
      <c r="H140" s="203">
        <f t="shared" si="6"/>
        <v>0</v>
      </c>
      <c r="I140" s="91" t="str">
        <f t="shared" si="7"/>
        <v/>
      </c>
      <c r="J140" s="91" t="str">
        <f t="shared" si="8"/>
        <v/>
      </c>
      <c r="K140" s="91">
        <f t="shared" ref="K140:L140" si="196">IF($B140&gt;4*$E$36,H140,H140*(1/3+$B140/(2*$E$36)/3))</f>
        <v>0</v>
      </c>
      <c r="L140" s="91" t="str">
        <f t="shared" si="196"/>
        <v/>
      </c>
      <c r="M140" s="91">
        <f t="shared" si="10"/>
        <v>3.000008483</v>
      </c>
      <c r="N140" s="91">
        <f t="shared" si="11"/>
        <v>54.88296769</v>
      </c>
    </row>
    <row r="141" ht="12.75" hidden="1" customHeight="1">
      <c r="A141" s="170">
        <f t="shared" ref="A141:B141" si="197">+A140+1</f>
        <v>95</v>
      </c>
      <c r="B141" s="170">
        <f t="shared" si="197"/>
        <v>94.5</v>
      </c>
      <c r="C141" s="170">
        <v>1.0</v>
      </c>
      <c r="D141" s="95">
        <f t="shared" si="3"/>
        <v>105</v>
      </c>
      <c r="E141" s="193">
        <f t="shared" si="13"/>
        <v>6.158854167</v>
      </c>
      <c r="F141" s="131">
        <f t="shared" si="4"/>
        <v>6.158854167</v>
      </c>
      <c r="G141" s="101">
        <f t="shared" si="5"/>
        <v>30</v>
      </c>
      <c r="H141" s="203">
        <f t="shared" si="6"/>
        <v>0</v>
      </c>
      <c r="I141" s="91" t="str">
        <f t="shared" si="7"/>
        <v/>
      </c>
      <c r="J141" s="91" t="str">
        <f t="shared" si="8"/>
        <v/>
      </c>
      <c r="K141" s="91">
        <f t="shared" ref="K141:L141" si="198">IF($B141&gt;4*$E$36,H141,H141*(1/3+$B141/(2*$E$36)/3))</f>
        <v>0</v>
      </c>
      <c r="L141" s="91" t="str">
        <f t="shared" si="198"/>
        <v/>
      </c>
      <c r="M141" s="91">
        <f t="shared" si="10"/>
        <v>3.000008483</v>
      </c>
      <c r="N141" s="91">
        <f t="shared" si="11"/>
        <v>55.42984424</v>
      </c>
    </row>
    <row r="142" ht="12.75" hidden="1" customHeight="1">
      <c r="A142" s="170">
        <f t="shared" ref="A142:B142" si="199">+A141+1</f>
        <v>96</v>
      </c>
      <c r="B142" s="170">
        <f t="shared" si="199"/>
        <v>95.5</v>
      </c>
      <c r="C142" s="170">
        <v>1.0</v>
      </c>
      <c r="D142" s="95">
        <f t="shared" si="3"/>
        <v>105</v>
      </c>
      <c r="E142" s="193">
        <f t="shared" si="13"/>
        <v>6.219618056</v>
      </c>
      <c r="F142" s="131">
        <f t="shared" si="4"/>
        <v>6.219618056</v>
      </c>
      <c r="G142" s="101">
        <f t="shared" si="5"/>
        <v>30</v>
      </c>
      <c r="H142" s="203">
        <f t="shared" si="6"/>
        <v>0</v>
      </c>
      <c r="I142" s="91" t="str">
        <f t="shared" si="7"/>
        <v/>
      </c>
      <c r="J142" s="91" t="str">
        <f t="shared" si="8"/>
        <v/>
      </c>
      <c r="K142" s="91">
        <f t="shared" ref="K142:L142" si="200">IF($B142&gt;4*$E$36,H142,H142*(1/3+$B142/(2*$E$36)/3))</f>
        <v>0</v>
      </c>
      <c r="L142" s="91" t="str">
        <f t="shared" si="200"/>
        <v/>
      </c>
      <c r="M142" s="91">
        <f t="shared" si="10"/>
        <v>3.000008483</v>
      </c>
      <c r="N142" s="91">
        <f t="shared" si="11"/>
        <v>55.97672078</v>
      </c>
    </row>
    <row r="143" ht="12.75" hidden="1" customHeight="1">
      <c r="A143" s="170">
        <f t="shared" ref="A143:B143" si="201">+A142+1</f>
        <v>97</v>
      </c>
      <c r="B143" s="170">
        <f t="shared" si="201"/>
        <v>96.5</v>
      </c>
      <c r="C143" s="170">
        <v>1.0</v>
      </c>
      <c r="D143" s="95">
        <f t="shared" si="3"/>
        <v>105</v>
      </c>
      <c r="E143" s="193">
        <f t="shared" si="13"/>
        <v>6.280381944</v>
      </c>
      <c r="F143" s="131">
        <f t="shared" si="4"/>
        <v>6.280381944</v>
      </c>
      <c r="G143" s="101">
        <f t="shared" si="5"/>
        <v>30</v>
      </c>
      <c r="H143" s="203">
        <f t="shared" si="6"/>
        <v>0</v>
      </c>
      <c r="I143" s="91" t="str">
        <f t="shared" si="7"/>
        <v/>
      </c>
      <c r="J143" s="91" t="str">
        <f t="shared" si="8"/>
        <v/>
      </c>
      <c r="K143" s="91">
        <f t="shared" ref="K143:L143" si="202">IF($B143&gt;4*$E$36,H143,H143*(1/3+$B143/(2*$E$36)/3))</f>
        <v>0</v>
      </c>
      <c r="L143" s="91" t="str">
        <f t="shared" si="202"/>
        <v/>
      </c>
      <c r="M143" s="91">
        <f t="shared" si="10"/>
        <v>3.000008483</v>
      </c>
      <c r="N143" s="91">
        <f t="shared" si="11"/>
        <v>56.52359733</v>
      </c>
    </row>
    <row r="144" ht="12.75" hidden="1" customHeight="1">
      <c r="A144" s="170">
        <f t="shared" ref="A144:B144" si="203">+A143+1</f>
        <v>98</v>
      </c>
      <c r="B144" s="170">
        <f t="shared" si="203"/>
        <v>97.5</v>
      </c>
      <c r="C144" s="170">
        <v>1.0</v>
      </c>
      <c r="D144" s="95">
        <f t="shared" si="3"/>
        <v>105</v>
      </c>
      <c r="E144" s="193">
        <f t="shared" si="13"/>
        <v>6.341145833</v>
      </c>
      <c r="F144" s="131">
        <f t="shared" si="4"/>
        <v>6.341145833</v>
      </c>
      <c r="G144" s="101">
        <f t="shared" si="5"/>
        <v>30</v>
      </c>
      <c r="H144" s="203">
        <f t="shared" si="6"/>
        <v>0</v>
      </c>
      <c r="I144" s="91" t="str">
        <f t="shared" si="7"/>
        <v/>
      </c>
      <c r="J144" s="91" t="str">
        <f t="shared" si="8"/>
        <v/>
      </c>
      <c r="K144" s="91">
        <f t="shared" ref="K144:L144" si="204">IF($B144&gt;4*$E$36,H144,H144*(1/3+$B144/(2*$E$36)/3))</f>
        <v>0</v>
      </c>
      <c r="L144" s="91" t="str">
        <f t="shared" si="204"/>
        <v/>
      </c>
      <c r="M144" s="91">
        <f t="shared" si="10"/>
        <v>3.000008483</v>
      </c>
      <c r="N144" s="91">
        <f t="shared" si="11"/>
        <v>57.07047387</v>
      </c>
    </row>
    <row r="145" ht="12.75" hidden="1" customHeight="1">
      <c r="A145" s="170">
        <f t="shared" ref="A145:B145" si="205">+A144+1</f>
        <v>99</v>
      </c>
      <c r="B145" s="170">
        <f t="shared" si="205"/>
        <v>98.5</v>
      </c>
      <c r="C145" s="170">
        <v>1.0</v>
      </c>
      <c r="D145" s="95">
        <f t="shared" si="3"/>
        <v>105</v>
      </c>
      <c r="E145" s="193">
        <f t="shared" si="13"/>
        <v>6.401909722</v>
      </c>
      <c r="F145" s="131">
        <f t="shared" si="4"/>
        <v>6.401909722</v>
      </c>
      <c r="G145" s="101">
        <f t="shared" si="5"/>
        <v>30</v>
      </c>
      <c r="H145" s="203">
        <f t="shared" si="6"/>
        <v>0</v>
      </c>
      <c r="I145" s="91" t="str">
        <f t="shared" si="7"/>
        <v/>
      </c>
      <c r="J145" s="91" t="str">
        <f t="shared" si="8"/>
        <v/>
      </c>
      <c r="K145" s="91">
        <f t="shared" ref="K145:L145" si="206">IF($B145&gt;4*$E$36,H145,H145*(1/3+$B145/(2*$E$36)/3))</f>
        <v>0</v>
      </c>
      <c r="L145" s="91" t="str">
        <f t="shared" si="206"/>
        <v/>
      </c>
      <c r="M145" s="91">
        <f t="shared" si="10"/>
        <v>3.000008483</v>
      </c>
      <c r="N145" s="91">
        <f t="shared" si="11"/>
        <v>57.61735042</v>
      </c>
    </row>
    <row r="146" ht="12.75" hidden="1" customHeight="1">
      <c r="A146" s="170">
        <f t="shared" ref="A146:B146" si="207">+A145+1</f>
        <v>100</v>
      </c>
      <c r="B146" s="170">
        <f t="shared" si="207"/>
        <v>99.5</v>
      </c>
      <c r="C146" s="170">
        <v>1.0</v>
      </c>
      <c r="D146" s="95">
        <f t="shared" si="3"/>
        <v>105</v>
      </c>
      <c r="E146" s="193">
        <f t="shared" si="13"/>
        <v>6.462673611</v>
      </c>
      <c r="F146" s="131">
        <f t="shared" si="4"/>
        <v>6.462673611</v>
      </c>
      <c r="G146" s="101">
        <f t="shared" si="5"/>
        <v>30</v>
      </c>
      <c r="H146" s="203">
        <f t="shared" si="6"/>
        <v>0</v>
      </c>
      <c r="I146" s="91" t="str">
        <f t="shared" si="7"/>
        <v/>
      </c>
      <c r="J146" s="91" t="str">
        <f t="shared" si="8"/>
        <v/>
      </c>
      <c r="K146" s="91">
        <f t="shared" ref="K146:L146" si="208">IF($B146&gt;4*$E$36,H146,H146*(1/3+$B146/(2*$E$36)/3))</f>
        <v>0</v>
      </c>
      <c r="L146" s="91" t="str">
        <f t="shared" si="208"/>
        <v/>
      </c>
      <c r="M146" s="91">
        <f t="shared" si="10"/>
        <v>3.000008483</v>
      </c>
      <c r="N146" s="91">
        <f t="shared" si="11"/>
        <v>58.16422697</v>
      </c>
    </row>
    <row r="147" ht="12.75" hidden="1" customHeight="1">
      <c r="A147" s="170">
        <f t="shared" ref="A147:B147" si="209">+A146+1</f>
        <v>101</v>
      </c>
      <c r="B147" s="170">
        <f t="shared" si="209"/>
        <v>100.5</v>
      </c>
      <c r="C147" s="170">
        <v>1.0</v>
      </c>
      <c r="D147" s="95">
        <f t="shared" si="3"/>
        <v>105</v>
      </c>
      <c r="E147" s="193">
        <f t="shared" si="13"/>
        <v>6.5234375</v>
      </c>
      <c r="F147" s="131">
        <f t="shared" si="4"/>
        <v>6.5234375</v>
      </c>
      <c r="G147" s="101">
        <f t="shared" si="5"/>
        <v>30</v>
      </c>
      <c r="H147" s="203">
        <f t="shared" si="6"/>
        <v>0</v>
      </c>
      <c r="I147" s="91" t="str">
        <f t="shared" si="7"/>
        <v/>
      </c>
      <c r="J147" s="91" t="str">
        <f t="shared" si="8"/>
        <v/>
      </c>
      <c r="K147" s="91">
        <f t="shared" ref="K147:L147" si="210">IF($B147&gt;4*$E$36,H147,H147*(1/3+$B147/(2*$E$36)/3))</f>
        <v>0</v>
      </c>
      <c r="L147" s="91" t="str">
        <f t="shared" si="210"/>
        <v/>
      </c>
      <c r="M147" s="91">
        <f t="shared" si="10"/>
        <v>3.000008483</v>
      </c>
      <c r="N147" s="91">
        <f t="shared" si="11"/>
        <v>58.71110351</v>
      </c>
    </row>
    <row r="148" ht="12.75" hidden="1" customHeight="1">
      <c r="A148" s="170">
        <f t="shared" ref="A148:B148" si="211">+A147+1</f>
        <v>102</v>
      </c>
      <c r="B148" s="170">
        <f t="shared" si="211"/>
        <v>101.5</v>
      </c>
      <c r="C148" s="170">
        <v>1.0</v>
      </c>
      <c r="D148" s="95">
        <f t="shared" si="3"/>
        <v>105</v>
      </c>
      <c r="E148" s="193">
        <f t="shared" si="13"/>
        <v>6.584201389</v>
      </c>
      <c r="F148" s="131">
        <f t="shared" si="4"/>
        <v>6.584201389</v>
      </c>
      <c r="G148" s="101">
        <f t="shared" si="5"/>
        <v>30</v>
      </c>
      <c r="H148" s="203">
        <f t="shared" si="6"/>
        <v>0</v>
      </c>
      <c r="I148" s="91" t="str">
        <f t="shared" si="7"/>
        <v/>
      </c>
      <c r="J148" s="91" t="str">
        <f t="shared" si="8"/>
        <v/>
      </c>
      <c r="K148" s="91">
        <f t="shared" ref="K148:L148" si="212">IF($B148&gt;4*$E$36,H148,H148*(1/3+$B148/(2*$E$36)/3))</f>
        <v>0</v>
      </c>
      <c r="L148" s="91" t="str">
        <f t="shared" si="212"/>
        <v/>
      </c>
      <c r="M148" s="91">
        <f t="shared" si="10"/>
        <v>3.000008483</v>
      </c>
      <c r="N148" s="91">
        <f t="shared" si="11"/>
        <v>59.25798006</v>
      </c>
    </row>
    <row r="149" ht="12.75" hidden="1" customHeight="1">
      <c r="A149" s="170">
        <f t="shared" ref="A149:B149" si="213">+A148+1</f>
        <v>103</v>
      </c>
      <c r="B149" s="170">
        <f t="shared" si="213"/>
        <v>102.5</v>
      </c>
      <c r="C149" s="170">
        <v>2.0</v>
      </c>
      <c r="D149" s="95">
        <f t="shared" si="3"/>
        <v>105</v>
      </c>
      <c r="E149" s="193">
        <f t="shared" si="13"/>
        <v>6.644965278</v>
      </c>
      <c r="F149" s="131">
        <f t="shared" si="4"/>
        <v>6.644965278</v>
      </c>
      <c r="G149" s="101">
        <f t="shared" si="5"/>
        <v>30</v>
      </c>
      <c r="H149" s="203">
        <f t="shared" si="6"/>
        <v>0</v>
      </c>
      <c r="I149" s="91" t="str">
        <f t="shared" si="7"/>
        <v/>
      </c>
      <c r="J149" s="91" t="str">
        <f t="shared" si="8"/>
        <v/>
      </c>
      <c r="K149" s="91">
        <f t="shared" ref="K149:L149" si="214">IF($B149&gt;4*$E$36,H149,H149*(1/3+$B149/(2*$E$36)/3))</f>
        <v>0</v>
      </c>
      <c r="L149" s="91" t="str">
        <f t="shared" si="214"/>
        <v/>
      </c>
      <c r="M149" s="91">
        <f t="shared" si="10"/>
        <v>3.000008483</v>
      </c>
      <c r="N149" s="91">
        <f t="shared" si="11"/>
        <v>59.80485661</v>
      </c>
    </row>
    <row r="150" ht="12.75" hidden="1" customHeight="1">
      <c r="A150" s="170">
        <f t="shared" ref="A150:B150" si="215">+A149+1</f>
        <v>104</v>
      </c>
      <c r="B150" s="170">
        <f t="shared" si="215"/>
        <v>103.5</v>
      </c>
      <c r="C150" s="170">
        <v>3.0</v>
      </c>
      <c r="D150" s="95">
        <f t="shared" si="3"/>
        <v>105</v>
      </c>
      <c r="E150" s="193">
        <f t="shared" si="13"/>
        <v>6.705729167</v>
      </c>
      <c r="F150" s="131">
        <f t="shared" si="4"/>
        <v>6.705729167</v>
      </c>
      <c r="G150" s="101">
        <f t="shared" si="5"/>
        <v>30</v>
      </c>
      <c r="H150" s="203">
        <f t="shared" si="6"/>
        <v>0</v>
      </c>
      <c r="I150" s="91" t="str">
        <f t="shared" si="7"/>
        <v/>
      </c>
      <c r="J150" s="91" t="str">
        <f t="shared" si="8"/>
        <v/>
      </c>
      <c r="K150" s="91">
        <f t="shared" ref="K150:L150" si="216">IF($B150&gt;4*$E$36,H150,H150*(1/3+$B150/(2*$E$36)/3))</f>
        <v>0</v>
      </c>
      <c r="L150" s="91" t="str">
        <f t="shared" si="216"/>
        <v/>
      </c>
      <c r="M150" s="91">
        <f t="shared" si="10"/>
        <v>3.000008483</v>
      </c>
      <c r="N150" s="91">
        <f t="shared" si="11"/>
        <v>60.35173315</v>
      </c>
    </row>
    <row r="151" ht="12.75" hidden="1" customHeight="1">
      <c r="A151" s="170">
        <f t="shared" ref="A151:B151" si="217">+A150+1</f>
        <v>105</v>
      </c>
      <c r="B151" s="170">
        <f t="shared" si="217"/>
        <v>104.5</v>
      </c>
      <c r="C151" s="170">
        <v>4.0</v>
      </c>
      <c r="D151" s="95">
        <f t="shared" si="3"/>
        <v>105</v>
      </c>
      <c r="E151" s="193">
        <f t="shared" si="13"/>
        <v>6.766493056</v>
      </c>
      <c r="F151" s="131">
        <f t="shared" si="4"/>
        <v>6.766493056</v>
      </c>
      <c r="G151" s="101">
        <f t="shared" si="5"/>
        <v>30</v>
      </c>
      <c r="H151" s="203">
        <f t="shared" si="6"/>
        <v>0</v>
      </c>
      <c r="I151" s="91" t="str">
        <f t="shared" si="7"/>
        <v/>
      </c>
      <c r="J151" s="91" t="str">
        <f t="shared" si="8"/>
        <v/>
      </c>
      <c r="K151" s="91">
        <f t="shared" ref="K151:L151" si="218">IF($B151&gt;4*$E$36,H151,H151*(1/3+$B151/(2*$E$36)/3))</f>
        <v>0</v>
      </c>
      <c r="L151" s="91" t="str">
        <f t="shared" si="218"/>
        <v/>
      </c>
      <c r="M151" s="91">
        <f t="shared" si="10"/>
        <v>3.000008483</v>
      </c>
      <c r="N151" s="91">
        <f t="shared" si="11"/>
        <v>60.8986097</v>
      </c>
    </row>
    <row r="152" ht="12.75" hidden="1" customHeight="1">
      <c r="A152" s="170">
        <f t="shared" ref="A152:B152" si="219">+A151+1</f>
        <v>106</v>
      </c>
      <c r="B152" s="170">
        <f t="shared" si="219"/>
        <v>105.5</v>
      </c>
      <c r="C152" s="170">
        <v>5.0</v>
      </c>
      <c r="D152" s="95">
        <f t="shared" si="3"/>
        <v>105</v>
      </c>
      <c r="E152" s="193">
        <f t="shared" si="13"/>
        <v>6.827256944</v>
      </c>
      <c r="F152" s="131">
        <f t="shared" si="4"/>
        <v>6.827256944</v>
      </c>
      <c r="G152" s="101">
        <f t="shared" si="5"/>
        <v>30</v>
      </c>
      <c r="H152" s="203">
        <f t="shared" si="6"/>
        <v>0</v>
      </c>
      <c r="I152" s="91" t="str">
        <f t="shared" si="7"/>
        <v/>
      </c>
      <c r="J152" s="91" t="str">
        <f t="shared" si="8"/>
        <v/>
      </c>
      <c r="K152" s="91">
        <f t="shared" ref="K152:L152" si="220">IF($B152&gt;4*$E$36,H152,H152*(1/3+$B152/(2*$E$36)/3))</f>
        <v>0</v>
      </c>
      <c r="L152" s="91" t="str">
        <f t="shared" si="220"/>
        <v/>
      </c>
      <c r="M152" s="91">
        <f t="shared" si="10"/>
        <v>3.000008483</v>
      </c>
      <c r="N152" s="91">
        <f t="shared" si="11"/>
        <v>61.44548625</v>
      </c>
    </row>
    <row r="153" ht="12.75" hidden="1" customHeight="1">
      <c r="A153" s="170">
        <f t="shared" ref="A153:B153" si="221">+A152+1</f>
        <v>107</v>
      </c>
      <c r="B153" s="170">
        <f t="shared" si="221"/>
        <v>106.5</v>
      </c>
      <c r="C153" s="170">
        <v>6.0</v>
      </c>
      <c r="D153" s="95">
        <f t="shared" si="3"/>
        <v>105</v>
      </c>
      <c r="E153" s="193">
        <f t="shared" si="13"/>
        <v>6.888020833</v>
      </c>
      <c r="F153" s="131">
        <f t="shared" si="4"/>
        <v>6.888020833</v>
      </c>
      <c r="G153" s="101">
        <f t="shared" si="5"/>
        <v>30</v>
      </c>
      <c r="H153" s="203">
        <f t="shared" si="6"/>
        <v>0</v>
      </c>
      <c r="I153" s="91" t="str">
        <f t="shared" si="7"/>
        <v/>
      </c>
      <c r="J153" s="91" t="str">
        <f t="shared" si="8"/>
        <v/>
      </c>
      <c r="K153" s="91">
        <f t="shared" ref="K153:L153" si="222">IF($B153&gt;4*$E$36,H153,H153*(1/3+$B153/(2*$E$36)/3))</f>
        <v>0</v>
      </c>
      <c r="L153" s="91" t="str">
        <f t="shared" si="222"/>
        <v/>
      </c>
      <c r="M153" s="91">
        <f t="shared" si="10"/>
        <v>3.000008483</v>
      </c>
      <c r="N153" s="91">
        <f t="shared" si="11"/>
        <v>61.99236279</v>
      </c>
    </row>
    <row r="154" ht="12.75" hidden="1" customHeight="1">
      <c r="A154" s="170">
        <f t="shared" ref="A154:B154" si="223">+A153+1</f>
        <v>108</v>
      </c>
      <c r="B154" s="170">
        <f t="shared" si="223"/>
        <v>107.5</v>
      </c>
      <c r="C154" s="170">
        <v>7.0</v>
      </c>
      <c r="D154" s="95">
        <f t="shared" si="3"/>
        <v>105</v>
      </c>
      <c r="E154" s="193">
        <f t="shared" si="13"/>
        <v>6.948784722</v>
      </c>
      <c r="F154" s="131">
        <f t="shared" si="4"/>
        <v>6.948784722</v>
      </c>
      <c r="G154" s="101">
        <f t="shared" si="5"/>
        <v>30</v>
      </c>
      <c r="H154" s="203">
        <f t="shared" si="6"/>
        <v>0</v>
      </c>
      <c r="I154" s="91" t="str">
        <f t="shared" si="7"/>
        <v/>
      </c>
      <c r="J154" s="91" t="str">
        <f t="shared" si="8"/>
        <v/>
      </c>
      <c r="K154" s="91">
        <f t="shared" ref="K154:L154" si="224">IF($B154&gt;4*$E$36,H154,H154*(1/3+$B154/(2*$E$36)/3))</f>
        <v>0</v>
      </c>
      <c r="L154" s="91" t="str">
        <f t="shared" si="224"/>
        <v/>
      </c>
      <c r="M154" s="91">
        <f t="shared" si="10"/>
        <v>3.000008483</v>
      </c>
      <c r="N154" s="91">
        <f t="shared" si="11"/>
        <v>62.53923934</v>
      </c>
    </row>
    <row r="155" ht="12.75" customHeight="1">
      <c r="G155" s="37"/>
      <c r="H155" s="150"/>
      <c r="I155" s="137"/>
      <c r="J155" s="137"/>
      <c r="K155" s="137"/>
      <c r="L155" s="137"/>
      <c r="M155" s="137"/>
      <c r="N155" s="137"/>
    </row>
    <row r="156">
      <c r="A156" s="151" t="s">
        <v>708</v>
      </c>
      <c r="B156" s="2"/>
      <c r="C156" s="3"/>
      <c r="D156" s="152"/>
      <c r="E156" s="152"/>
      <c r="G156" s="37"/>
      <c r="H156" s="150"/>
      <c r="I156" s="137"/>
      <c r="J156" s="137"/>
      <c r="K156" s="137"/>
      <c r="L156" s="137"/>
      <c r="M156" s="137"/>
      <c r="N156" s="137"/>
    </row>
    <row r="157" ht="12.75" customHeight="1">
      <c r="A157" s="153" t="s">
        <v>709</v>
      </c>
      <c r="B157" s="3"/>
      <c r="C157" s="204">
        <v>24.0</v>
      </c>
      <c r="G157" s="37"/>
      <c r="H157" s="150"/>
      <c r="I157" s="137"/>
      <c r="J157" s="137"/>
      <c r="K157" s="137"/>
      <c r="L157" s="137"/>
      <c r="M157" s="137"/>
      <c r="N157" s="137"/>
    </row>
    <row r="158" ht="12.75" customHeight="1">
      <c r="A158" s="153" t="s">
        <v>710</v>
      </c>
      <c r="B158" s="3"/>
      <c r="C158" s="204">
        <v>48.0</v>
      </c>
      <c r="G158" s="37"/>
      <c r="H158" s="150"/>
      <c r="I158" s="137"/>
      <c r="J158" s="137"/>
      <c r="K158" s="137"/>
      <c r="L158" s="137"/>
      <c r="M158" s="137"/>
      <c r="N158" s="137"/>
    </row>
    <row r="159">
      <c r="A159" s="205"/>
      <c r="B159" s="205"/>
      <c r="C159" s="206"/>
      <c r="D159" s="207"/>
      <c r="E159" s="207"/>
      <c r="G159" s="37"/>
      <c r="H159" s="150"/>
      <c r="I159" s="137"/>
      <c r="J159" s="137"/>
      <c r="K159" s="137"/>
      <c r="L159" s="137"/>
      <c r="M159" s="137"/>
      <c r="N159" s="137"/>
    </row>
    <row r="160">
      <c r="A160" s="208" t="s">
        <v>711</v>
      </c>
      <c r="B160" s="3"/>
      <c r="C160" s="209">
        <v>36.0</v>
      </c>
      <c r="D160" s="207" t="s">
        <v>712</v>
      </c>
      <c r="E160" s="207"/>
      <c r="G160" s="37"/>
      <c r="H160" s="150"/>
      <c r="I160" s="137"/>
      <c r="J160" s="137"/>
      <c r="K160" s="137"/>
      <c r="L160" s="137"/>
      <c r="M160" s="137"/>
      <c r="N160" s="137"/>
    </row>
    <row r="161">
      <c r="A161" s="208" t="s">
        <v>713</v>
      </c>
      <c r="B161" s="3"/>
      <c r="C161" s="209">
        <v>12.0</v>
      </c>
      <c r="D161" s="207" t="s">
        <v>712</v>
      </c>
      <c r="E161" s="207"/>
      <c r="G161" s="37"/>
      <c r="H161" s="150"/>
      <c r="I161" s="137"/>
      <c r="J161" s="137"/>
      <c r="K161" s="137"/>
      <c r="L161" s="137"/>
      <c r="M161" s="137"/>
      <c r="N161" s="137"/>
    </row>
    <row r="162">
      <c r="A162" s="208" t="s">
        <v>714</v>
      </c>
      <c r="B162" s="3"/>
      <c r="C162" s="209">
        <v>40.0</v>
      </c>
      <c r="D162" s="207" t="s">
        <v>715</v>
      </c>
      <c r="E162" s="207"/>
      <c r="G162" s="37"/>
      <c r="H162" s="150"/>
      <c r="I162" s="137"/>
      <c r="J162" s="137"/>
      <c r="K162" s="137"/>
      <c r="L162" s="137"/>
      <c r="M162" s="137"/>
      <c r="N162" s="137"/>
    </row>
    <row r="163">
      <c r="A163" s="208" t="s">
        <v>716</v>
      </c>
      <c r="B163" s="3"/>
      <c r="C163" s="206">
        <f>(Barn_Width/2)*Post_Spacing*((15*1.2)+(Snow_Load*1.6))</f>
        <v>17712</v>
      </c>
      <c r="D163" s="207" t="s">
        <v>717</v>
      </c>
      <c r="G163" s="37"/>
      <c r="H163" s="150"/>
      <c r="I163" s="137"/>
      <c r="J163" s="137"/>
      <c r="K163" s="137"/>
      <c r="L163" s="137"/>
      <c r="M163" s="137"/>
      <c r="N163" s="137"/>
    </row>
    <row r="164" ht="12.75" customHeight="1">
      <c r="G164" s="37"/>
      <c r="H164" s="150"/>
      <c r="I164" s="137"/>
      <c r="J164" s="137"/>
      <c r="K164" s="137"/>
      <c r="L164" s="137"/>
      <c r="M164" s="137"/>
      <c r="N164" s="137"/>
    </row>
    <row r="165" ht="12.75" hidden="1" customHeight="1">
      <c r="A165" s="46" t="s">
        <v>393</v>
      </c>
      <c r="B165" s="8"/>
      <c r="C165" s="8"/>
      <c r="D165" s="8"/>
      <c r="E165" s="8"/>
      <c r="F165" s="9"/>
      <c r="G165" s="37"/>
      <c r="H165" s="51" t="s">
        <v>394</v>
      </c>
      <c r="I165" s="8"/>
      <c r="J165" s="8"/>
      <c r="K165" s="8"/>
      <c r="L165" s="8"/>
      <c r="M165" s="8"/>
      <c r="N165" s="8"/>
      <c r="O165" s="8"/>
      <c r="P165" s="9"/>
      <c r="Q165" s="102" t="s">
        <v>718</v>
      </c>
      <c r="R165" s="6"/>
      <c r="S165" s="6"/>
      <c r="T165" s="6"/>
      <c r="U165" s="6"/>
      <c r="V165" s="6"/>
      <c r="W165" s="6"/>
      <c r="X165" s="6"/>
      <c r="Y165" s="103"/>
    </row>
    <row r="166" ht="12.75" hidden="1" customHeight="1">
      <c r="A166" s="52" t="s">
        <v>395</v>
      </c>
      <c r="B166" s="53"/>
      <c r="C166" s="53"/>
      <c r="D166" s="53"/>
      <c r="E166" s="53"/>
      <c r="F166" s="53"/>
      <c r="G166" s="37"/>
      <c r="H166" s="54"/>
      <c r="I166" s="54"/>
      <c r="J166" s="55"/>
      <c r="K166" s="56" t="s">
        <v>719</v>
      </c>
      <c r="L166" s="2"/>
      <c r="M166" s="57"/>
      <c r="N166" s="210">
        <f>E32</f>
        <v>30</v>
      </c>
      <c r="O166" s="59"/>
      <c r="P166" s="60"/>
      <c r="Q166" s="106" t="s">
        <v>720</v>
      </c>
      <c r="Y166" s="107"/>
    </row>
    <row r="167" ht="12.75" hidden="1" customHeight="1">
      <c r="A167" s="11" t="s">
        <v>397</v>
      </c>
      <c r="B167" s="11" t="s">
        <v>398</v>
      </c>
      <c r="C167" s="11" t="s">
        <v>399</v>
      </c>
      <c r="D167" s="11" t="s">
        <v>9</v>
      </c>
      <c r="E167" s="11" t="s">
        <v>400</v>
      </c>
      <c r="F167" s="11" t="s">
        <v>401</v>
      </c>
      <c r="G167" s="37"/>
      <c r="H167" s="61" t="s">
        <v>402</v>
      </c>
      <c r="I167" s="62" t="s">
        <v>721</v>
      </c>
      <c r="J167" s="62" t="s">
        <v>722</v>
      </c>
      <c r="K167" s="63" t="s">
        <v>723</v>
      </c>
      <c r="L167" s="2"/>
      <c r="M167" s="3"/>
      <c r="N167" s="63" t="s">
        <v>724</v>
      </c>
      <c r="O167" s="2"/>
      <c r="P167" s="3"/>
      <c r="Q167" s="108" t="s">
        <v>725</v>
      </c>
      <c r="R167" s="53"/>
      <c r="S167" s="53"/>
      <c r="T167" s="53"/>
      <c r="U167" s="53"/>
      <c r="V167" s="53"/>
      <c r="W167" s="53"/>
      <c r="X167" s="53"/>
      <c r="Y167" s="109"/>
    </row>
    <row r="168" hidden="1">
      <c r="A168" s="211" t="s">
        <v>192</v>
      </c>
      <c r="B168" s="212" t="s">
        <v>407</v>
      </c>
      <c r="C168" s="13"/>
      <c r="D168" s="120" t="s">
        <v>408</v>
      </c>
      <c r="E168" s="213">
        <f t="shared" ref="E168:E169" si="225">C157</f>
        <v>24</v>
      </c>
      <c r="F168" s="13"/>
      <c r="G168" s="37"/>
      <c r="H168" s="68"/>
      <c r="I168" s="68"/>
      <c r="J168" s="68"/>
      <c r="K168" s="63" t="s">
        <v>409</v>
      </c>
      <c r="L168" s="3"/>
      <c r="M168" s="69" t="s">
        <v>726</v>
      </c>
      <c r="N168" s="63" t="s">
        <v>409</v>
      </c>
      <c r="O168" s="3"/>
      <c r="P168" s="69" t="s">
        <v>727</v>
      </c>
    </row>
    <row r="169" hidden="1">
      <c r="A169" s="214" t="s">
        <v>728</v>
      </c>
      <c r="B169" s="13" t="s">
        <v>413</v>
      </c>
      <c r="C169" s="13"/>
      <c r="D169" s="120" t="s">
        <v>408</v>
      </c>
      <c r="E169" s="213">
        <f t="shared" si="225"/>
        <v>48</v>
      </c>
      <c r="F169" s="13"/>
      <c r="G169" s="37"/>
      <c r="H169" s="71" t="s">
        <v>414</v>
      </c>
      <c r="I169" s="71" t="s">
        <v>415</v>
      </c>
      <c r="J169" s="72" t="s">
        <v>729</v>
      </c>
      <c r="K169" s="73" t="s">
        <v>730</v>
      </c>
      <c r="L169" s="74">
        <f>IF((0.8-0.01*N166)&gt;0.93,0.93,(0.8-0.01*N166))</f>
        <v>0.5</v>
      </c>
      <c r="M169" s="75">
        <f t="shared" ref="M169:M173" si="227">IF((L169*1.25)&gt;0.93,0.93,(L169*1.25))</f>
        <v>0.625</v>
      </c>
      <c r="N169" s="76" t="s">
        <v>731</v>
      </c>
      <c r="O169" s="77">
        <f t="shared" ref="O169:P169" si="226">1.4/L169</f>
        <v>2.8</v>
      </c>
      <c r="P169" s="78">
        <f t="shared" si="226"/>
        <v>2.24</v>
      </c>
    </row>
    <row r="170" ht="12.75" hidden="1" customHeight="1">
      <c r="A170" s="214" t="s">
        <v>732</v>
      </c>
      <c r="B170" s="13" t="s">
        <v>420</v>
      </c>
      <c r="C170" s="13"/>
      <c r="D170" s="120" t="s">
        <v>421</v>
      </c>
      <c r="E170" s="215">
        <f>C163</f>
        <v>17712</v>
      </c>
      <c r="F170" s="13" t="s">
        <v>422</v>
      </c>
      <c r="G170" s="37"/>
      <c r="H170" s="79"/>
      <c r="I170" s="79"/>
      <c r="J170" s="80" t="s">
        <v>733</v>
      </c>
      <c r="K170" s="81" t="s">
        <v>734</v>
      </c>
      <c r="L170" s="82">
        <f>IF((0.62-0.01*N166)&gt;0.93,0.93,(0.62-0.01*N166))</f>
        <v>0.32</v>
      </c>
      <c r="M170" s="75">
        <f t="shared" si="227"/>
        <v>0.4</v>
      </c>
      <c r="N170" s="81" t="s">
        <v>735</v>
      </c>
      <c r="O170" s="77">
        <f t="shared" ref="O170:P170" si="228">1.4/L170</f>
        <v>4.375</v>
      </c>
      <c r="P170" s="78">
        <f t="shared" si="228"/>
        <v>3.5</v>
      </c>
    </row>
    <row r="171" ht="12.75" hidden="1" customHeight="1">
      <c r="A171" s="214" t="s">
        <v>736</v>
      </c>
      <c r="B171" s="13" t="s">
        <v>427</v>
      </c>
      <c r="C171" s="13"/>
      <c r="D171" s="120" t="s">
        <v>421</v>
      </c>
      <c r="E171" s="213">
        <v>0.0</v>
      </c>
      <c r="F171" s="13" t="s">
        <v>428</v>
      </c>
      <c r="G171" s="37"/>
      <c r="H171" s="79"/>
      <c r="I171" s="79"/>
      <c r="J171" s="80" t="s">
        <v>737</v>
      </c>
      <c r="K171" s="81" t="s">
        <v>738</v>
      </c>
      <c r="L171" s="82">
        <f>IF((0.71-0.01*N166)&gt;0.93,0.93,(0.71-0.01*N166))</f>
        <v>0.41</v>
      </c>
      <c r="M171" s="75">
        <f t="shared" si="227"/>
        <v>0.5125</v>
      </c>
      <c r="N171" s="81" t="s">
        <v>739</v>
      </c>
      <c r="O171" s="77">
        <f t="shared" ref="O171:P171" si="229">1.4/L171</f>
        <v>3.414634146</v>
      </c>
      <c r="P171" s="78">
        <f t="shared" si="229"/>
        <v>2.731707317</v>
      </c>
    </row>
    <row r="172" ht="12.75" hidden="1" customHeight="1">
      <c r="A172" s="216"/>
      <c r="B172" s="13" t="s">
        <v>432</v>
      </c>
      <c r="C172" s="13"/>
      <c r="D172" s="120" t="s">
        <v>433</v>
      </c>
      <c r="E172" s="213">
        <v>0.0</v>
      </c>
      <c r="F172" s="13" t="s">
        <v>434</v>
      </c>
      <c r="G172" s="37"/>
      <c r="H172" s="79"/>
      <c r="I172" s="79"/>
      <c r="J172" s="80" t="s">
        <v>435</v>
      </c>
      <c r="K172" s="81" t="s">
        <v>740</v>
      </c>
      <c r="L172" s="82">
        <f>IF((0.58-0.01*N166)&gt;0.93,0.93,(0.58-0.01*N166))</f>
        <v>0.28</v>
      </c>
      <c r="M172" s="75">
        <f t="shared" si="227"/>
        <v>0.35</v>
      </c>
      <c r="N172" s="81" t="s">
        <v>741</v>
      </c>
      <c r="O172" s="77">
        <f t="shared" ref="O172:P172" si="230">1.4/L172</f>
        <v>5</v>
      </c>
      <c r="P172" s="78">
        <f t="shared" si="230"/>
        <v>4</v>
      </c>
    </row>
    <row r="173" ht="12.75" hidden="1" customHeight="1">
      <c r="A173" s="217" t="s">
        <v>742</v>
      </c>
      <c r="B173" s="13" t="s">
        <v>439</v>
      </c>
      <c r="C173" s="13" t="s">
        <v>440</v>
      </c>
      <c r="D173" s="120" t="s">
        <v>743</v>
      </c>
      <c r="E173" s="218">
        <f>IF(and(C20="clay",C20="silt",C20="sandy clay",C20="silty clay"),E194,E202)</f>
        <v>127.6747052</v>
      </c>
      <c r="F173" s="13" t="s">
        <v>442</v>
      </c>
      <c r="G173" s="37"/>
      <c r="H173" s="79"/>
      <c r="I173" s="68"/>
      <c r="J173" s="80" t="s">
        <v>443</v>
      </c>
      <c r="K173" s="81" t="s">
        <v>744</v>
      </c>
      <c r="L173" s="82">
        <f>IF((0.77-0.01*N166)&gt;0.93,0.93,(0.77-0.01*N166))</f>
        <v>0.47</v>
      </c>
      <c r="M173" s="75">
        <f t="shared" si="227"/>
        <v>0.5875</v>
      </c>
      <c r="N173" s="81" t="s">
        <v>745</v>
      </c>
      <c r="O173" s="77">
        <f t="shared" ref="O173:P173" si="231">1.4/L173</f>
        <v>2.978723404</v>
      </c>
      <c r="P173" s="78">
        <f t="shared" si="231"/>
        <v>2.382978723</v>
      </c>
    </row>
    <row r="174" ht="12.75" hidden="1" customHeight="1">
      <c r="A174" s="214" t="s">
        <v>746</v>
      </c>
      <c r="B174" s="13" t="s">
        <v>447</v>
      </c>
      <c r="C174" s="219"/>
      <c r="D174" s="120" t="s">
        <v>448</v>
      </c>
      <c r="E174" s="218">
        <f>IF(and(C20="clay",C20="silt",C20="sandy clay",C20="silty clay"),M181,M172)</f>
        <v>0.35</v>
      </c>
      <c r="F174" s="13" t="s">
        <v>449</v>
      </c>
      <c r="G174" s="37"/>
      <c r="H174" s="79"/>
      <c r="I174" s="86" t="s">
        <v>450</v>
      </c>
      <c r="J174" s="80" t="s">
        <v>451</v>
      </c>
      <c r="K174" s="87">
        <v>0.41</v>
      </c>
      <c r="L174" s="3"/>
      <c r="M174" s="88">
        <f t="shared" ref="M174:M184" si="232">+K174*1.25</f>
        <v>0.5125</v>
      </c>
      <c r="N174" s="87">
        <v>3.4</v>
      </c>
      <c r="O174" s="3"/>
      <c r="P174" s="89">
        <f t="shared" ref="P174:P184" si="233">+N174*0.8</f>
        <v>2.72</v>
      </c>
    </row>
    <row r="175" ht="12.75" hidden="1" customHeight="1">
      <c r="A175" s="214" t="s">
        <v>747</v>
      </c>
      <c r="B175" s="13" t="s">
        <v>453</v>
      </c>
      <c r="C175" s="13"/>
      <c r="D175" s="120" t="s">
        <v>448</v>
      </c>
      <c r="E175" s="218">
        <f>IF(and(C20="clay",C20="silt",C20="sandy clay",C20="silty clay"),P181,P172)</f>
        <v>4</v>
      </c>
      <c r="F175" s="13" t="s">
        <v>449</v>
      </c>
      <c r="G175" s="37"/>
      <c r="H175" s="79"/>
      <c r="I175" s="86" t="s">
        <v>454</v>
      </c>
      <c r="J175" s="80" t="s">
        <v>455</v>
      </c>
      <c r="K175" s="87">
        <v>0.5</v>
      </c>
      <c r="L175" s="3"/>
      <c r="M175" s="88">
        <f t="shared" si="232"/>
        <v>0.625</v>
      </c>
      <c r="N175" s="87">
        <v>2.8</v>
      </c>
      <c r="O175" s="3"/>
      <c r="P175" s="89">
        <f t="shared" si="233"/>
        <v>2.24</v>
      </c>
    </row>
    <row r="176" ht="12.75" hidden="1" customHeight="1">
      <c r="A176" s="214" t="s">
        <v>748</v>
      </c>
      <c r="B176" s="13" t="s">
        <v>457</v>
      </c>
      <c r="C176" s="13" t="s">
        <v>458</v>
      </c>
      <c r="D176" s="120" t="s">
        <v>459</v>
      </c>
      <c r="E176" s="220">
        <f>E35</f>
        <v>400</v>
      </c>
      <c r="F176" s="13"/>
      <c r="G176" s="37"/>
      <c r="H176" s="68"/>
      <c r="I176" s="86" t="s">
        <v>460</v>
      </c>
      <c r="J176" s="80" t="s">
        <v>461</v>
      </c>
      <c r="K176" s="87">
        <v>0.5</v>
      </c>
      <c r="L176" s="3"/>
      <c r="M176" s="88">
        <f t="shared" si="232"/>
        <v>0.625</v>
      </c>
      <c r="N176" s="87">
        <v>2.8</v>
      </c>
      <c r="O176" s="3"/>
      <c r="P176" s="89">
        <f t="shared" si="233"/>
        <v>2.24</v>
      </c>
    </row>
    <row r="177" ht="12.75" hidden="1" customHeight="1">
      <c r="A177" s="214" t="s">
        <v>749</v>
      </c>
      <c r="B177" s="13" t="s">
        <v>750</v>
      </c>
      <c r="C177" s="13" t="s">
        <v>458</v>
      </c>
      <c r="D177" s="120" t="s">
        <v>751</v>
      </c>
      <c r="E177" s="221">
        <f t="array" ref="E177">(INDEX(A47:F154,E169,5)+INDEX(A47:F154,(E169+1),5))/2</f>
        <v>3.333333333</v>
      </c>
      <c r="F177" s="13"/>
      <c r="G177" s="37"/>
      <c r="H177" s="92" t="s">
        <v>465</v>
      </c>
      <c r="I177" s="92" t="s">
        <v>415</v>
      </c>
      <c r="J177" s="80" t="s">
        <v>466</v>
      </c>
      <c r="K177" s="87">
        <v>0.6</v>
      </c>
      <c r="L177" s="3"/>
      <c r="M177" s="88">
        <f t="shared" si="232"/>
        <v>0.75</v>
      </c>
      <c r="N177" s="87">
        <v>2.3</v>
      </c>
      <c r="O177" s="3"/>
      <c r="P177" s="89">
        <f t="shared" si="233"/>
        <v>1.84</v>
      </c>
    </row>
    <row r="178" ht="12.75" hidden="1" customHeight="1">
      <c r="A178" s="222" t="s">
        <v>249</v>
      </c>
      <c r="B178" s="13" t="s">
        <v>467</v>
      </c>
      <c r="C178" s="48" t="s">
        <v>752</v>
      </c>
      <c r="D178" s="120" t="s">
        <v>753</v>
      </c>
      <c r="E178" s="223">
        <f>+E177*144*12/E169</f>
        <v>120</v>
      </c>
      <c r="F178" s="13"/>
      <c r="G178" s="37"/>
      <c r="H178" s="79"/>
      <c r="I178" s="79"/>
      <c r="J178" s="80" t="s">
        <v>470</v>
      </c>
      <c r="K178" s="87">
        <v>0.6</v>
      </c>
      <c r="L178" s="3"/>
      <c r="M178" s="88">
        <f t="shared" si="232"/>
        <v>0.75</v>
      </c>
      <c r="N178" s="87">
        <v>2.3</v>
      </c>
      <c r="O178" s="3"/>
      <c r="P178" s="89">
        <f t="shared" si="233"/>
        <v>1.84</v>
      </c>
    </row>
    <row r="179" ht="16.5" hidden="1" customHeight="1">
      <c r="A179" s="224" t="s">
        <v>754</v>
      </c>
      <c r="B179" s="97" t="s">
        <v>472</v>
      </c>
      <c r="C179" s="97" t="s">
        <v>755</v>
      </c>
      <c r="D179" s="169" t="s">
        <v>448</v>
      </c>
      <c r="E179" s="225">
        <f>IF(E176&gt;(1.5*E168+E169),1,IF(E176&lt;E169,0.5,(0.5+(E176-E169)/(3*E168))))</f>
        <v>1</v>
      </c>
      <c r="F179" s="97" t="s">
        <v>474</v>
      </c>
      <c r="G179" s="37"/>
      <c r="H179" s="79"/>
      <c r="I179" s="79"/>
      <c r="J179" s="80" t="s">
        <v>475</v>
      </c>
      <c r="K179" s="87">
        <v>0.6</v>
      </c>
      <c r="L179" s="3"/>
      <c r="M179" s="88">
        <f t="shared" si="232"/>
        <v>0.75</v>
      </c>
      <c r="N179" s="87">
        <v>2.3</v>
      </c>
      <c r="O179" s="3"/>
      <c r="P179" s="89">
        <f t="shared" si="233"/>
        <v>1.84</v>
      </c>
    </row>
    <row r="180" hidden="1">
      <c r="A180" s="68"/>
      <c r="B180" s="68"/>
      <c r="C180" s="68"/>
      <c r="D180" s="68"/>
      <c r="E180" s="68"/>
      <c r="F180" s="79"/>
      <c r="G180" s="37"/>
      <c r="H180" s="79"/>
      <c r="I180" s="79"/>
      <c r="J180" s="80" t="s">
        <v>476</v>
      </c>
      <c r="K180" s="87">
        <v>0.6</v>
      </c>
      <c r="L180" s="3"/>
      <c r="M180" s="88">
        <f t="shared" si="232"/>
        <v>0.75</v>
      </c>
      <c r="N180" s="87">
        <v>2.3</v>
      </c>
      <c r="O180" s="3"/>
      <c r="P180" s="89">
        <f t="shared" si="233"/>
        <v>1.84</v>
      </c>
    </row>
    <row r="181" ht="12.75" hidden="1" customHeight="1">
      <c r="A181" s="224" t="s">
        <v>756</v>
      </c>
      <c r="B181" s="97" t="s">
        <v>472</v>
      </c>
      <c r="C181" s="97" t="s">
        <v>757</v>
      </c>
      <c r="D181" s="169" t="s">
        <v>448</v>
      </c>
      <c r="E181" s="225">
        <f>IF(E176&lt;E169,(0.5+0.5*E176/E169),1)</f>
        <v>1</v>
      </c>
      <c r="F181" s="79"/>
      <c r="G181" s="37"/>
      <c r="H181" s="79"/>
      <c r="I181" s="79"/>
      <c r="J181" s="80" t="s">
        <v>435</v>
      </c>
      <c r="K181" s="87">
        <v>0.47</v>
      </c>
      <c r="L181" s="3"/>
      <c r="M181" s="88">
        <f t="shared" si="232"/>
        <v>0.5875</v>
      </c>
      <c r="N181" s="87">
        <v>3.0</v>
      </c>
      <c r="O181" s="3"/>
      <c r="P181" s="89">
        <f t="shared" si="233"/>
        <v>2.4</v>
      </c>
    </row>
    <row r="182" ht="12.75" hidden="1" customHeight="1">
      <c r="A182" s="68"/>
      <c r="B182" s="68"/>
      <c r="C182" s="68"/>
      <c r="D182" s="68"/>
      <c r="E182" s="68"/>
      <c r="F182" s="68"/>
      <c r="G182" s="37"/>
      <c r="H182" s="79"/>
      <c r="I182" s="68"/>
      <c r="J182" s="80" t="s">
        <v>443</v>
      </c>
      <c r="K182" s="87">
        <v>0.6</v>
      </c>
      <c r="L182" s="3"/>
      <c r="M182" s="88">
        <f t="shared" si="232"/>
        <v>0.75</v>
      </c>
      <c r="N182" s="87">
        <v>2.3</v>
      </c>
      <c r="O182" s="3"/>
      <c r="P182" s="89">
        <f t="shared" si="233"/>
        <v>1.84</v>
      </c>
    </row>
    <row r="183" ht="12.75" hidden="1" customHeight="1">
      <c r="A183" s="214" t="s">
        <v>182</v>
      </c>
      <c r="B183" s="13" t="s">
        <v>479</v>
      </c>
      <c r="C183" s="48" t="s">
        <v>758</v>
      </c>
      <c r="D183" s="120" t="s">
        <v>759</v>
      </c>
      <c r="E183" s="226">
        <f>IF(E172&gt;0.1,(E168*E168),(3.1416*E168^2/4))</f>
        <v>452.3904</v>
      </c>
      <c r="F183" s="13"/>
      <c r="G183" s="37"/>
      <c r="H183" s="79"/>
      <c r="I183" s="86" t="s">
        <v>454</v>
      </c>
      <c r="J183" s="80" t="s">
        <v>455</v>
      </c>
      <c r="K183" s="87">
        <v>0.6</v>
      </c>
      <c r="L183" s="3"/>
      <c r="M183" s="88">
        <f t="shared" si="232"/>
        <v>0.75</v>
      </c>
      <c r="N183" s="87">
        <v>2.3</v>
      </c>
      <c r="O183" s="3"/>
      <c r="P183" s="89">
        <f t="shared" si="233"/>
        <v>1.84</v>
      </c>
    </row>
    <row r="184" ht="12.75" hidden="1" customHeight="1">
      <c r="A184" s="214" t="s">
        <v>760</v>
      </c>
      <c r="B184" s="13" t="s">
        <v>483</v>
      </c>
      <c r="C184" s="13" t="s">
        <v>761</v>
      </c>
      <c r="D184" s="120" t="s">
        <v>421</v>
      </c>
      <c r="E184" s="220">
        <f>+(E173-E177)*E183*E174</f>
        <v>19687.79503</v>
      </c>
      <c r="F184" s="13" t="s">
        <v>485</v>
      </c>
      <c r="G184" s="37"/>
      <c r="H184" s="68"/>
      <c r="I184" s="86" t="s">
        <v>460</v>
      </c>
      <c r="J184" s="80" t="s">
        <v>461</v>
      </c>
      <c r="K184" s="87">
        <v>0.6</v>
      </c>
      <c r="L184" s="3"/>
      <c r="M184" s="88">
        <f t="shared" si="232"/>
        <v>0.75</v>
      </c>
      <c r="N184" s="87">
        <v>2.3</v>
      </c>
      <c r="O184" s="3"/>
      <c r="P184" s="89">
        <f t="shared" si="233"/>
        <v>1.84</v>
      </c>
    </row>
    <row r="185" ht="12.75" hidden="1" customHeight="1">
      <c r="A185" s="224" t="s">
        <v>762</v>
      </c>
      <c r="B185" s="13" t="s">
        <v>487</v>
      </c>
      <c r="C185" s="13" t="s">
        <v>763</v>
      </c>
      <c r="D185" s="169" t="s">
        <v>421</v>
      </c>
      <c r="E185" s="227">
        <f>+(E173-E177)*E183/E175</f>
        <v>14062.71074</v>
      </c>
      <c r="F185" s="97" t="s">
        <v>489</v>
      </c>
      <c r="G185" s="37"/>
    </row>
    <row r="186" ht="12.75" customHeight="1">
      <c r="A186" s="228" t="s">
        <v>491</v>
      </c>
      <c r="B186" s="229"/>
      <c r="C186" s="230" t="str">
        <f>IF(AND(E184&gt;E170,E185&gt;E171),"Yes","NO")</f>
        <v>Yes</v>
      </c>
      <c r="D186" s="231"/>
      <c r="E186" s="232"/>
      <c r="F186" s="45"/>
      <c r="G186" s="37"/>
    </row>
    <row r="187" ht="12.0" customHeight="1">
      <c r="G187" s="37"/>
    </row>
    <row r="188" ht="12.75" customHeight="1">
      <c r="G188" s="37"/>
      <c r="H188" s="150"/>
      <c r="I188" s="137"/>
      <c r="J188" s="137"/>
      <c r="K188" s="137"/>
      <c r="L188" s="137"/>
      <c r="M188" s="137"/>
      <c r="N188" s="137"/>
    </row>
    <row r="189" ht="12.75" hidden="1" customHeight="1">
      <c r="A189" s="110" t="s">
        <v>764</v>
      </c>
      <c r="B189" s="8"/>
      <c r="C189" s="8"/>
      <c r="D189" s="8"/>
      <c r="E189" s="9"/>
      <c r="G189" s="37"/>
      <c r="H189" s="150"/>
      <c r="I189" s="137"/>
      <c r="J189" s="137"/>
      <c r="K189" s="137"/>
      <c r="L189" s="137"/>
      <c r="M189" s="137"/>
      <c r="N189" s="137"/>
    </row>
    <row r="190" ht="12.75" hidden="1" customHeight="1">
      <c r="A190" s="111" t="s">
        <v>765</v>
      </c>
      <c r="G190" s="37"/>
      <c r="H190" s="150"/>
      <c r="I190" s="137"/>
      <c r="J190" s="137"/>
      <c r="K190" s="137"/>
      <c r="L190" s="137"/>
      <c r="M190" s="137"/>
      <c r="N190" s="137"/>
    </row>
    <row r="191" ht="12.75" hidden="1" customHeight="1">
      <c r="A191" s="50"/>
      <c r="B191" s="21"/>
      <c r="C191" s="21"/>
      <c r="D191" s="37"/>
      <c r="E191" s="37"/>
      <c r="G191" s="37"/>
      <c r="H191" s="150"/>
      <c r="I191" s="137"/>
      <c r="J191" s="137"/>
      <c r="K191" s="137"/>
      <c r="L191" s="137"/>
      <c r="M191" s="137"/>
      <c r="N191" s="137"/>
    </row>
    <row r="192" ht="12.75" hidden="1" customHeight="1">
      <c r="A192" s="112" t="s">
        <v>766</v>
      </c>
      <c r="B192" s="113"/>
      <c r="C192" s="113"/>
      <c r="D192" s="113"/>
      <c r="E192" s="114"/>
      <c r="G192" s="37"/>
      <c r="H192" s="150"/>
      <c r="I192" s="137"/>
      <c r="J192" s="137"/>
      <c r="K192" s="137"/>
      <c r="L192" s="137"/>
      <c r="M192" s="137"/>
      <c r="N192" s="137"/>
    </row>
    <row r="193" ht="12.75" hidden="1" customHeight="1">
      <c r="A193" s="11" t="s">
        <v>397</v>
      </c>
      <c r="B193" s="11" t="s">
        <v>398</v>
      </c>
      <c r="C193" s="11" t="s">
        <v>399</v>
      </c>
      <c r="D193" s="11" t="s">
        <v>9</v>
      </c>
      <c r="E193" s="11" t="s">
        <v>400</v>
      </c>
      <c r="G193" s="37"/>
      <c r="H193" s="150"/>
      <c r="I193" s="137"/>
      <c r="J193" s="137"/>
      <c r="K193" s="137"/>
      <c r="L193" s="137"/>
      <c r="M193" s="137"/>
      <c r="N193" s="137"/>
    </row>
    <row r="194" ht="12.75" hidden="1" customHeight="1">
      <c r="A194" s="84" t="s">
        <v>767</v>
      </c>
      <c r="B194" s="15" t="s">
        <v>439</v>
      </c>
      <c r="C194" s="94" t="s">
        <v>768</v>
      </c>
      <c r="D194" s="66" t="s">
        <v>769</v>
      </c>
      <c r="E194" s="91">
        <f>+E195*E197*E196*E198+E177</f>
        <v>3.333333333</v>
      </c>
      <c r="G194" s="37"/>
      <c r="H194" s="150"/>
      <c r="I194" s="137"/>
      <c r="J194" s="137"/>
      <c r="K194" s="137"/>
      <c r="L194" s="137"/>
      <c r="M194" s="137"/>
      <c r="N194" s="137"/>
    </row>
    <row r="195" ht="12.75" hidden="1" customHeight="1">
      <c r="A195" s="84" t="s">
        <v>770</v>
      </c>
      <c r="B195" s="13" t="s">
        <v>771</v>
      </c>
      <c r="C195" s="15"/>
      <c r="D195" s="66" t="s">
        <v>772</v>
      </c>
      <c r="E195" s="67">
        <v>0.0</v>
      </c>
      <c r="G195" s="37"/>
      <c r="H195" s="150"/>
      <c r="I195" s="137"/>
      <c r="J195" s="137"/>
      <c r="K195" s="137"/>
      <c r="L195" s="137"/>
      <c r="M195" s="137"/>
      <c r="N195" s="137"/>
    </row>
    <row r="196" ht="12.75" hidden="1" customHeight="1">
      <c r="A196" s="70" t="s">
        <v>773</v>
      </c>
      <c r="B196" s="13" t="s">
        <v>504</v>
      </c>
      <c r="C196" s="15" t="s">
        <v>774</v>
      </c>
      <c r="D196" s="66" t="s">
        <v>448</v>
      </c>
      <c r="E196" s="95">
        <f>IF(E170/E169&lt;2.5,(1+0.2*E170/E169),1.5)</f>
        <v>1.5</v>
      </c>
      <c r="G196" s="37"/>
      <c r="H196" s="150"/>
      <c r="I196" s="137"/>
      <c r="J196" s="137"/>
      <c r="K196" s="137"/>
      <c r="L196" s="137"/>
      <c r="M196" s="137"/>
      <c r="N196" s="137"/>
    </row>
    <row r="197" ht="12.75" hidden="1" customHeight="1">
      <c r="A197" s="70" t="s">
        <v>775</v>
      </c>
      <c r="B197" s="13" t="s">
        <v>507</v>
      </c>
      <c r="C197" s="15" t="s">
        <v>776</v>
      </c>
      <c r="D197" s="66" t="s">
        <v>448</v>
      </c>
      <c r="E197" s="95">
        <v>5.14</v>
      </c>
      <c r="G197" s="37"/>
      <c r="H197" s="150"/>
      <c r="I197" s="137"/>
      <c r="J197" s="137"/>
      <c r="K197" s="137"/>
      <c r="L197" s="137"/>
      <c r="M197" s="137"/>
      <c r="N197" s="137"/>
    </row>
    <row r="198" ht="12.75" hidden="1" customHeight="1">
      <c r="A198" s="70" t="s">
        <v>777</v>
      </c>
      <c r="B198" s="13" t="s">
        <v>510</v>
      </c>
      <c r="C198" s="15" t="s">
        <v>511</v>
      </c>
      <c r="D198" s="66" t="s">
        <v>448</v>
      </c>
      <c r="E198" s="115">
        <v>1.2</v>
      </c>
      <c r="G198" s="37"/>
      <c r="H198" s="150"/>
      <c r="I198" s="137"/>
      <c r="J198" s="137"/>
      <c r="K198" s="137"/>
      <c r="L198" s="137"/>
      <c r="M198" s="137"/>
      <c r="N198" s="137"/>
    </row>
    <row r="199" ht="12.75" hidden="1" customHeight="1">
      <c r="A199" s="50"/>
      <c r="B199" s="21"/>
      <c r="C199" s="20"/>
      <c r="D199" s="37"/>
      <c r="E199" s="37"/>
      <c r="G199" s="37"/>
      <c r="H199" s="150"/>
      <c r="I199" s="137"/>
      <c r="J199" s="137"/>
      <c r="K199" s="137"/>
      <c r="L199" s="137"/>
      <c r="M199" s="137"/>
      <c r="N199" s="137"/>
    </row>
    <row r="200" ht="12.75" hidden="1" customHeight="1">
      <c r="A200" s="112" t="s">
        <v>778</v>
      </c>
      <c r="B200" s="113"/>
      <c r="C200" s="113"/>
      <c r="D200" s="113"/>
      <c r="E200" s="114"/>
      <c r="G200" s="37"/>
      <c r="H200" s="150"/>
      <c r="I200" s="137"/>
      <c r="J200" s="137"/>
      <c r="K200" s="137"/>
      <c r="L200" s="137"/>
      <c r="M200" s="137"/>
      <c r="N200" s="137"/>
    </row>
    <row r="201" ht="12.75" hidden="1" customHeight="1">
      <c r="A201" s="11" t="s">
        <v>397</v>
      </c>
      <c r="B201" s="11" t="s">
        <v>398</v>
      </c>
      <c r="C201" s="11" t="s">
        <v>399</v>
      </c>
      <c r="D201" s="11" t="s">
        <v>9</v>
      </c>
      <c r="E201" s="11" t="s">
        <v>400</v>
      </c>
      <c r="G201" s="37"/>
      <c r="H201" s="150"/>
      <c r="I201" s="137"/>
      <c r="J201" s="137"/>
      <c r="K201" s="137"/>
      <c r="L201" s="137"/>
      <c r="M201" s="137"/>
      <c r="N201" s="137"/>
    </row>
    <row r="202" ht="12.75" hidden="1" customHeight="1">
      <c r="A202" s="84" t="s">
        <v>779</v>
      </c>
      <c r="B202" s="15" t="s">
        <v>439</v>
      </c>
      <c r="C202" s="94" t="s">
        <v>780</v>
      </c>
      <c r="D202" s="66" t="s">
        <v>781</v>
      </c>
      <c r="E202" s="91">
        <f>0.5*(E178/1728)*E168*E180*E205*E206+E177*E181*E204*E208*E207</f>
        <v>127.6747052</v>
      </c>
      <c r="G202" s="37"/>
      <c r="H202" s="150"/>
      <c r="I202" s="137"/>
      <c r="J202" s="137"/>
      <c r="K202" s="137"/>
      <c r="L202" s="137"/>
      <c r="M202" s="137"/>
      <c r="N202" s="137"/>
    </row>
    <row r="203" ht="12.75" hidden="1" customHeight="1">
      <c r="A203" s="93" t="s">
        <v>391</v>
      </c>
      <c r="B203" s="13" t="s">
        <v>782</v>
      </c>
      <c r="C203" s="15"/>
      <c r="D203" s="66" t="s">
        <v>517</v>
      </c>
      <c r="E203" s="172">
        <f>E32</f>
        <v>30</v>
      </c>
      <c r="G203" s="37"/>
      <c r="H203" s="150"/>
      <c r="I203" s="137"/>
      <c r="J203" s="137"/>
      <c r="K203" s="137"/>
      <c r="L203" s="137"/>
      <c r="M203" s="137"/>
      <c r="N203" s="137"/>
    </row>
    <row r="204" ht="12.75" hidden="1" customHeight="1">
      <c r="A204" s="70" t="s">
        <v>783</v>
      </c>
      <c r="B204" s="13" t="s">
        <v>519</v>
      </c>
      <c r="C204" s="15" t="s">
        <v>784</v>
      </c>
      <c r="D204" s="66" t="s">
        <v>448</v>
      </c>
      <c r="E204" s="91">
        <f>EXP(3.1416*TAN(E203*3.1416/180))*(TAN((45+E203/2)*3.1416/180))^2</f>
        <v>18.40150277</v>
      </c>
      <c r="G204" s="37"/>
      <c r="H204" s="150"/>
      <c r="I204" s="137"/>
      <c r="J204" s="137"/>
      <c r="K204" s="137"/>
      <c r="L204" s="137"/>
      <c r="M204" s="137"/>
      <c r="N204" s="137"/>
    </row>
    <row r="205" ht="12.75" hidden="1" customHeight="1">
      <c r="A205" s="70" t="s">
        <v>785</v>
      </c>
      <c r="B205" s="43" t="s">
        <v>786</v>
      </c>
      <c r="C205" s="15" t="s">
        <v>787</v>
      </c>
      <c r="D205" s="66" t="s">
        <v>448</v>
      </c>
      <c r="E205" s="91">
        <f>2*(E204+1)*TAN(E203*3.1416/180)</f>
        <v>22.40298904</v>
      </c>
      <c r="G205" s="37"/>
      <c r="H205" s="150"/>
      <c r="I205" s="137"/>
      <c r="J205" s="137"/>
      <c r="K205" s="137"/>
      <c r="L205" s="137"/>
      <c r="M205" s="137"/>
      <c r="N205" s="137"/>
    </row>
    <row r="206" ht="12.75" hidden="1" customHeight="1">
      <c r="A206" s="70" t="s">
        <v>788</v>
      </c>
      <c r="B206" s="13" t="s">
        <v>525</v>
      </c>
      <c r="C206" s="15" t="s">
        <v>526</v>
      </c>
      <c r="D206" s="66" t="s">
        <v>448</v>
      </c>
      <c r="E206" s="119">
        <v>0.6</v>
      </c>
      <c r="G206" s="37"/>
      <c r="H206" s="150"/>
      <c r="I206" s="137"/>
      <c r="J206" s="137"/>
      <c r="K206" s="137"/>
      <c r="L206" s="137"/>
      <c r="M206" s="137"/>
      <c r="N206" s="137"/>
    </row>
    <row r="207" ht="12.75" hidden="1" customHeight="1">
      <c r="A207" s="70" t="s">
        <v>789</v>
      </c>
      <c r="B207" s="13" t="s">
        <v>525</v>
      </c>
      <c r="C207" s="15" t="s">
        <v>790</v>
      </c>
      <c r="D207" s="66" t="s">
        <v>448</v>
      </c>
      <c r="E207" s="91">
        <f>1+TAN(E203*3.1416/180)</f>
        <v>1.577351902</v>
      </c>
      <c r="G207" s="37"/>
      <c r="H207" s="150"/>
      <c r="I207" s="137"/>
      <c r="J207" s="137"/>
      <c r="K207" s="137"/>
      <c r="L207" s="137"/>
      <c r="M207" s="137"/>
      <c r="N207" s="137"/>
    </row>
    <row r="208" ht="12.75" hidden="1" customHeight="1">
      <c r="A208" s="70" t="s">
        <v>791</v>
      </c>
      <c r="B208" s="13" t="s">
        <v>530</v>
      </c>
      <c r="C208" s="15" t="s">
        <v>792</v>
      </c>
      <c r="D208" s="66" t="s">
        <v>448</v>
      </c>
      <c r="E208" s="91">
        <f>1+2*TAN(E203*3.1416/180)*(1-SIN(E203*3.1416/180))^2*ATAN(E169/E168)</f>
        <v>1.319605853</v>
      </c>
      <c r="G208" s="37"/>
      <c r="H208" s="150"/>
      <c r="I208" s="137"/>
      <c r="J208" s="137"/>
      <c r="K208" s="137"/>
      <c r="L208" s="137"/>
      <c r="M208" s="137"/>
      <c r="N208" s="137"/>
    </row>
    <row r="209" ht="12.75" customHeight="1">
      <c r="A209" s="50"/>
      <c r="B209" s="21"/>
      <c r="C209" s="21"/>
      <c r="D209" s="37"/>
      <c r="E209" s="37"/>
      <c r="G209" s="37"/>
      <c r="H209" s="150"/>
      <c r="I209" s="137"/>
      <c r="J209" s="137"/>
      <c r="K209" s="137"/>
      <c r="L209" s="137"/>
      <c r="M209" s="137"/>
      <c r="N209" s="137"/>
    </row>
    <row r="210" ht="12.75" customHeight="1">
      <c r="A210" s="50"/>
      <c r="B210" s="21"/>
      <c r="C210" s="21"/>
      <c r="D210" s="37"/>
      <c r="E210" s="37"/>
      <c r="G210" s="37"/>
      <c r="H210" s="150"/>
      <c r="I210" s="137"/>
      <c r="J210" s="137"/>
      <c r="K210" s="137"/>
      <c r="L210" s="137"/>
      <c r="M210" s="137"/>
      <c r="N210" s="137"/>
    </row>
    <row r="211" ht="15.75" customHeight="1">
      <c r="A211" s="151" t="s">
        <v>793</v>
      </c>
      <c r="B211" s="2"/>
      <c r="C211" s="3"/>
      <c r="D211" s="152"/>
      <c r="E211" s="152"/>
      <c r="G211" s="37"/>
      <c r="H211" s="150"/>
      <c r="I211" s="137"/>
      <c r="J211" s="137"/>
      <c r="K211" s="137"/>
      <c r="L211" s="137"/>
      <c r="M211" s="137"/>
      <c r="N211" s="137"/>
    </row>
    <row r="212" ht="12.75" customHeight="1">
      <c r="A212" s="233" t="s">
        <v>794</v>
      </c>
      <c r="B212" s="234" t="s">
        <v>795</v>
      </c>
      <c r="C212" s="204">
        <v>72.0</v>
      </c>
      <c r="G212" s="37"/>
      <c r="H212" s="150"/>
      <c r="I212" s="137"/>
      <c r="J212" s="137"/>
      <c r="K212" s="137"/>
      <c r="L212" s="137"/>
      <c r="M212" s="137"/>
      <c r="N212" s="137"/>
    </row>
    <row r="213" ht="12.75" customHeight="1">
      <c r="A213" s="68"/>
      <c r="B213" s="234" t="s">
        <v>796</v>
      </c>
      <c r="C213" s="204">
        <v>6.0</v>
      </c>
      <c r="G213" s="37"/>
      <c r="H213" s="150"/>
      <c r="I213" s="137"/>
      <c r="J213" s="137"/>
      <c r="K213" s="137"/>
      <c r="L213" s="137"/>
      <c r="M213" s="137"/>
      <c r="N213" s="137"/>
    </row>
    <row r="214" ht="12.75" customHeight="1">
      <c r="A214" s="235" t="s">
        <v>797</v>
      </c>
      <c r="B214" s="234" t="s">
        <v>798</v>
      </c>
      <c r="C214" s="204">
        <v>0.0</v>
      </c>
      <c r="D214" s="236" t="s">
        <v>799</v>
      </c>
      <c r="G214" s="37"/>
      <c r="H214" s="150"/>
      <c r="I214" s="137"/>
      <c r="J214" s="137"/>
      <c r="K214" s="137"/>
      <c r="L214" s="137"/>
      <c r="M214" s="137"/>
      <c r="N214" s="137"/>
    </row>
    <row r="215" ht="12.75" customHeight="1">
      <c r="A215" s="79"/>
      <c r="B215" s="234" t="s">
        <v>796</v>
      </c>
      <c r="C215" s="204">
        <v>0.0</v>
      </c>
      <c r="G215" s="37"/>
      <c r="H215" s="150"/>
      <c r="I215" s="137"/>
      <c r="J215" s="137"/>
      <c r="K215" s="137"/>
      <c r="L215" s="137"/>
      <c r="M215" s="137"/>
      <c r="N215" s="137"/>
    </row>
    <row r="216" ht="12.75" customHeight="1">
      <c r="A216" s="68"/>
      <c r="B216" s="234" t="s">
        <v>800</v>
      </c>
      <c r="C216" s="204">
        <v>72.0</v>
      </c>
      <c r="G216" s="37"/>
      <c r="H216" s="150"/>
      <c r="I216" s="137"/>
      <c r="J216" s="137"/>
      <c r="K216" s="137"/>
      <c r="L216" s="137"/>
      <c r="M216" s="137"/>
      <c r="N216" s="137"/>
    </row>
    <row r="217" ht="12.75" customHeight="1">
      <c r="A217" s="233" t="s">
        <v>801</v>
      </c>
      <c r="B217" s="234" t="s">
        <v>802</v>
      </c>
      <c r="C217" s="204">
        <v>6.0</v>
      </c>
      <c r="D217" s="236" t="s">
        <v>803</v>
      </c>
      <c r="G217" s="37"/>
      <c r="H217" s="150"/>
      <c r="I217" s="137"/>
      <c r="J217" s="137"/>
      <c r="K217" s="137"/>
      <c r="L217" s="137"/>
      <c r="M217" s="137"/>
      <c r="N217" s="137"/>
    </row>
    <row r="218" ht="12.75" customHeight="1">
      <c r="A218" s="79"/>
      <c r="B218" s="234" t="s">
        <v>804</v>
      </c>
      <c r="C218" s="204">
        <v>36.0</v>
      </c>
      <c r="G218" s="37"/>
      <c r="H218" s="150"/>
      <c r="I218" s="137"/>
      <c r="J218" s="137"/>
      <c r="K218" s="137"/>
      <c r="L218" s="137"/>
      <c r="M218" s="137"/>
      <c r="N218" s="137"/>
    </row>
    <row r="219" ht="12.75" customHeight="1">
      <c r="A219" s="68"/>
      <c r="B219" s="234" t="s">
        <v>796</v>
      </c>
      <c r="C219" s="204">
        <v>36.0</v>
      </c>
      <c r="G219" s="37"/>
      <c r="H219" s="150"/>
      <c r="I219" s="137"/>
      <c r="J219" s="137"/>
      <c r="K219" s="137"/>
      <c r="L219" s="137"/>
      <c r="M219" s="137"/>
      <c r="N219" s="137"/>
    </row>
    <row r="220" ht="12.75" customHeight="1">
      <c r="A220" s="235" t="s">
        <v>805</v>
      </c>
      <c r="B220" s="234" t="s">
        <v>802</v>
      </c>
      <c r="C220" s="204">
        <v>0.0</v>
      </c>
      <c r="D220" s="236" t="s">
        <v>806</v>
      </c>
      <c r="G220" s="37"/>
      <c r="H220" s="150"/>
      <c r="I220" s="137"/>
      <c r="J220" s="137"/>
      <c r="K220" s="137"/>
      <c r="L220" s="137"/>
      <c r="M220" s="137"/>
      <c r="N220" s="137"/>
    </row>
    <row r="221" ht="12.75" customHeight="1">
      <c r="A221" s="79"/>
      <c r="B221" s="234" t="s">
        <v>807</v>
      </c>
      <c r="C221" s="204">
        <v>0.0</v>
      </c>
      <c r="G221" s="37"/>
      <c r="H221" s="150"/>
      <c r="I221" s="137"/>
      <c r="J221" s="137"/>
      <c r="K221" s="137"/>
      <c r="L221" s="137"/>
      <c r="M221" s="137"/>
      <c r="N221" s="137"/>
    </row>
    <row r="222" ht="12.75" customHeight="1">
      <c r="A222" s="68"/>
      <c r="B222" s="234" t="s">
        <v>796</v>
      </c>
      <c r="C222" s="204">
        <v>0.0</v>
      </c>
      <c r="G222" s="37"/>
      <c r="H222" s="150"/>
      <c r="I222" s="137"/>
      <c r="J222" s="137"/>
      <c r="K222" s="137"/>
      <c r="L222" s="137"/>
      <c r="M222" s="137"/>
      <c r="N222" s="137"/>
    </row>
    <row r="223" ht="12.75" hidden="1" customHeight="1">
      <c r="A223" s="153" t="s">
        <v>808</v>
      </c>
      <c r="B223" s="3"/>
      <c r="C223" s="204">
        <v>16800.0</v>
      </c>
      <c r="G223" s="37"/>
      <c r="H223" s="150"/>
      <c r="I223" s="137"/>
      <c r="J223" s="137"/>
      <c r="K223" s="137"/>
      <c r="L223" s="137"/>
      <c r="M223" s="137"/>
      <c r="N223" s="137"/>
    </row>
    <row r="224" ht="12.75" hidden="1" customHeight="1">
      <c r="A224" s="153" t="s">
        <v>809</v>
      </c>
      <c r="B224" s="3"/>
      <c r="C224" s="204">
        <v>1420.0</v>
      </c>
      <c r="G224" s="37"/>
      <c r="H224" s="150"/>
      <c r="I224" s="137"/>
      <c r="J224" s="137"/>
      <c r="K224" s="137"/>
      <c r="L224" s="137"/>
      <c r="M224" s="137"/>
      <c r="N224" s="137"/>
    </row>
    <row r="225" ht="12.75" customHeight="1">
      <c r="B225" s="199"/>
      <c r="G225" s="37"/>
      <c r="H225" s="150"/>
      <c r="I225" s="137"/>
      <c r="J225" s="137"/>
      <c r="K225" s="137"/>
      <c r="L225" s="137"/>
      <c r="M225" s="137"/>
      <c r="N225" s="137"/>
    </row>
    <row r="226" ht="12.75" hidden="1" customHeight="1">
      <c r="B226" s="199"/>
      <c r="G226" s="37"/>
      <c r="H226" s="150"/>
      <c r="I226" s="137"/>
      <c r="J226" s="137"/>
      <c r="K226" s="137"/>
      <c r="L226" s="137"/>
      <c r="M226" s="137"/>
      <c r="N226" s="137"/>
    </row>
    <row r="227" ht="12.75" hidden="1" customHeight="1">
      <c r="B227" s="199"/>
      <c r="G227" s="37"/>
      <c r="H227" s="150"/>
      <c r="I227" s="137"/>
      <c r="J227" s="137"/>
      <c r="K227" s="137"/>
      <c r="L227" s="137"/>
      <c r="M227" s="137"/>
      <c r="N227" s="137"/>
    </row>
    <row r="228" ht="12.75" hidden="1" customHeight="1">
      <c r="B228" s="199"/>
      <c r="G228" s="37"/>
      <c r="H228" s="150"/>
      <c r="I228" s="137"/>
      <c r="J228" s="137"/>
      <c r="K228" s="137"/>
      <c r="L228" s="137"/>
      <c r="M228" s="137"/>
      <c r="N228" s="137"/>
    </row>
    <row r="229" ht="12.75" hidden="1" customHeight="1">
      <c r="B229" s="199"/>
      <c r="G229" s="37"/>
      <c r="H229" s="150"/>
      <c r="I229" s="137"/>
      <c r="J229" s="137"/>
      <c r="K229" s="137"/>
      <c r="L229" s="137"/>
      <c r="M229" s="137"/>
      <c r="N229" s="137"/>
    </row>
    <row r="230" ht="12.75" hidden="1" customHeight="1">
      <c r="B230" s="199"/>
      <c r="G230" s="37"/>
      <c r="H230" s="150"/>
      <c r="I230" s="137"/>
      <c r="J230" s="137"/>
      <c r="K230" s="137"/>
      <c r="L230" s="137"/>
      <c r="M230" s="137"/>
      <c r="N230" s="137"/>
    </row>
    <row r="231" ht="12.75" hidden="1" customHeight="1">
      <c r="G231" s="37"/>
      <c r="H231" s="150"/>
      <c r="I231" s="137"/>
      <c r="J231" s="137"/>
      <c r="K231" s="137"/>
      <c r="L231" s="137"/>
      <c r="M231" s="137"/>
      <c r="N231" s="137"/>
    </row>
    <row r="232" ht="12.75" hidden="1" customHeight="1">
      <c r="A232" s="237" t="s">
        <v>810</v>
      </c>
      <c r="B232" s="238"/>
      <c r="C232" s="237"/>
      <c r="D232" s="237"/>
      <c r="E232" s="237"/>
      <c r="G232" s="239" t="s">
        <v>811</v>
      </c>
      <c r="H232" s="8"/>
      <c r="I232" s="8"/>
      <c r="J232" s="8"/>
      <c r="K232" s="8"/>
      <c r="L232" s="8"/>
      <c r="M232" s="8"/>
      <c r="N232" s="9"/>
      <c r="O232" s="20"/>
      <c r="P232" s="240" t="s">
        <v>812</v>
      </c>
      <c r="Q232" s="2"/>
      <c r="R232" s="2"/>
      <c r="S232" s="2"/>
      <c r="T232" s="2"/>
      <c r="U232" s="2"/>
      <c r="V232" s="2"/>
      <c r="W232" s="2"/>
      <c r="X232" s="2"/>
      <c r="Y232" s="3"/>
      <c r="Z232" s="241"/>
      <c r="AA232" s="242"/>
      <c r="AB232" s="243" t="s">
        <v>813</v>
      </c>
      <c r="AC232" s="2"/>
      <c r="AD232" s="3"/>
      <c r="AE232" s="20"/>
      <c r="AF232" s="244" t="s">
        <v>814</v>
      </c>
      <c r="AG232" s="8"/>
      <c r="AH232" s="8"/>
      <c r="AI232" s="8"/>
      <c r="AJ232" s="8"/>
      <c r="AK232" s="8"/>
      <c r="AL232" s="9"/>
    </row>
    <row r="233" ht="12.75" hidden="1" customHeight="1">
      <c r="A233" s="245" t="s">
        <v>815</v>
      </c>
      <c r="I233" s="116"/>
      <c r="J233" s="116"/>
      <c r="K233" s="246"/>
      <c r="L233" s="246"/>
      <c r="M233" s="246"/>
      <c r="N233" s="246"/>
      <c r="P233" s="62" t="s">
        <v>816</v>
      </c>
      <c r="Q233" s="62" t="s">
        <v>817</v>
      </c>
      <c r="R233" s="62" t="s">
        <v>818</v>
      </c>
      <c r="S233" s="62" t="s">
        <v>819</v>
      </c>
      <c r="T233" s="62" t="s">
        <v>820</v>
      </c>
      <c r="U233" s="62" t="s">
        <v>821</v>
      </c>
      <c r="V233" s="62" t="s">
        <v>822</v>
      </c>
      <c r="W233" s="187" t="s">
        <v>823</v>
      </c>
      <c r="X233" s="187" t="s">
        <v>824</v>
      </c>
      <c r="Y233" s="247" t="s">
        <v>825</v>
      </c>
      <c r="Z233" s="248" t="s">
        <v>826</v>
      </c>
      <c r="AA233" s="249"/>
      <c r="AB233" s="250" t="s">
        <v>827</v>
      </c>
      <c r="AC233" s="247" t="s">
        <v>828</v>
      </c>
      <c r="AD233" s="251" t="s">
        <v>829</v>
      </c>
      <c r="AF233" s="62" t="s">
        <v>830</v>
      </c>
      <c r="AG233" s="252" t="s">
        <v>831</v>
      </c>
      <c r="AH233" s="253" t="s">
        <v>832</v>
      </c>
      <c r="AI233" s="3"/>
      <c r="AJ233" s="253" t="s">
        <v>833</v>
      </c>
      <c r="AK233" s="3"/>
      <c r="AL233" s="251" t="s">
        <v>834</v>
      </c>
    </row>
    <row r="234" ht="12.75" hidden="1" customHeight="1">
      <c r="A234" s="51" t="s">
        <v>835</v>
      </c>
      <c r="B234" s="8"/>
      <c r="C234" s="8"/>
      <c r="D234" s="8"/>
      <c r="E234" s="9"/>
      <c r="G234" s="161" t="s">
        <v>402</v>
      </c>
      <c r="H234" s="161" t="s">
        <v>836</v>
      </c>
      <c r="I234" s="254" t="s">
        <v>837</v>
      </c>
      <c r="J234" s="2"/>
      <c r="K234" s="57"/>
      <c r="L234" s="255">
        <f>E32</f>
        <v>30</v>
      </c>
      <c r="M234" s="256"/>
      <c r="N234" s="3"/>
      <c r="O234" s="177"/>
      <c r="P234" s="79"/>
      <c r="Q234" s="79"/>
      <c r="R234" s="79"/>
      <c r="S234" s="79"/>
      <c r="T234" s="79"/>
      <c r="U234" s="79"/>
      <c r="V234" s="79"/>
      <c r="W234" s="79"/>
      <c r="X234" s="79"/>
      <c r="Y234" s="79"/>
      <c r="Z234" s="257"/>
      <c r="AA234" s="258"/>
      <c r="AB234" s="259"/>
      <c r="AC234" s="68"/>
      <c r="AD234" s="260"/>
      <c r="AF234" s="79"/>
      <c r="AG234" s="79"/>
      <c r="AH234" s="261" t="s">
        <v>838</v>
      </c>
      <c r="AI234" s="261" t="s">
        <v>839</v>
      </c>
      <c r="AJ234" s="261" t="s">
        <v>840</v>
      </c>
      <c r="AK234" s="261" t="s">
        <v>841</v>
      </c>
      <c r="AL234" s="79"/>
    </row>
    <row r="235" ht="12.75" hidden="1" customHeight="1">
      <c r="A235" s="262" t="s">
        <v>842</v>
      </c>
      <c r="B235" s="262" t="s">
        <v>843</v>
      </c>
      <c r="C235" s="11" t="s">
        <v>9</v>
      </c>
      <c r="D235" s="11" t="s">
        <v>400</v>
      </c>
      <c r="E235" s="11" t="s">
        <v>401</v>
      </c>
      <c r="G235" s="79"/>
      <c r="H235" s="79"/>
      <c r="I235" s="162" t="s">
        <v>844</v>
      </c>
      <c r="J235" s="6"/>
      <c r="K235" s="103"/>
      <c r="L235" s="162" t="s">
        <v>845</v>
      </c>
      <c r="M235" s="6"/>
      <c r="N235" s="103"/>
      <c r="O235" s="177"/>
      <c r="P235" s="79"/>
      <c r="Q235" s="68"/>
      <c r="R235" s="68"/>
      <c r="S235" s="68"/>
      <c r="T235" s="68"/>
      <c r="U235" s="68"/>
      <c r="V235" s="68"/>
      <c r="W235" s="68"/>
      <c r="X235" s="68"/>
      <c r="Y235" s="68"/>
      <c r="Z235" s="263"/>
      <c r="AA235" s="258"/>
      <c r="AB235" s="264"/>
      <c r="AC235" s="265">
        <f t="shared" ref="AC235:AD235" si="234">$D$265</f>
        <v>11.83098592</v>
      </c>
      <c r="AD235" s="265">
        <f t="shared" si="234"/>
        <v>11.83098592</v>
      </c>
      <c r="AF235" s="79"/>
      <c r="AG235" s="79"/>
      <c r="AH235" s="79"/>
      <c r="AI235" s="79"/>
      <c r="AJ235" s="79"/>
      <c r="AK235" s="79"/>
      <c r="AL235" s="79"/>
    </row>
    <row r="236" ht="12.75" hidden="1" customHeight="1">
      <c r="A236" s="266" t="s">
        <v>846</v>
      </c>
      <c r="B236" s="13" t="s">
        <v>847</v>
      </c>
      <c r="C236" s="267" t="s">
        <v>459</v>
      </c>
      <c r="D236" s="268">
        <f t="shared" ref="D236:D239" si="235">C212</f>
        <v>72</v>
      </c>
      <c r="E236" s="15"/>
      <c r="G236" s="79"/>
      <c r="H236" s="79"/>
      <c r="I236" s="165"/>
      <c r="J236" s="53"/>
      <c r="K236" s="109"/>
      <c r="L236" s="165"/>
      <c r="M236" s="53"/>
      <c r="N236" s="109"/>
      <c r="P236" s="68"/>
      <c r="Q236" s="66" t="s">
        <v>408</v>
      </c>
      <c r="R236" s="66" t="s">
        <v>408</v>
      </c>
      <c r="S236" s="66" t="s">
        <v>408</v>
      </c>
      <c r="T236" s="66" t="s">
        <v>408</v>
      </c>
      <c r="U236" s="66" t="s">
        <v>408</v>
      </c>
      <c r="V236" s="66" t="s">
        <v>408</v>
      </c>
      <c r="W236" s="269" t="s">
        <v>408</v>
      </c>
      <c r="X236" s="267" t="s">
        <v>848</v>
      </c>
      <c r="Y236" s="270" t="s">
        <v>421</v>
      </c>
      <c r="Z236" s="271" t="s">
        <v>849</v>
      </c>
      <c r="AA236" s="272"/>
      <c r="AB236" s="273" t="s">
        <v>849</v>
      </c>
      <c r="AC236" s="270" t="s">
        <v>421</v>
      </c>
      <c r="AD236" s="270" t="s">
        <v>421</v>
      </c>
      <c r="AF236" s="68"/>
      <c r="AG236" s="68"/>
      <c r="AH236" s="68"/>
      <c r="AI236" s="68"/>
      <c r="AJ236" s="68"/>
      <c r="AK236" s="68"/>
      <c r="AL236" s="68"/>
    </row>
    <row r="237" ht="12.75" hidden="1" customHeight="1">
      <c r="A237" s="68"/>
      <c r="B237" s="13" t="s">
        <v>850</v>
      </c>
      <c r="C237" s="267" t="s">
        <v>408</v>
      </c>
      <c r="D237" s="274">
        <f t="shared" si="235"/>
        <v>6</v>
      </c>
      <c r="E237" s="15"/>
      <c r="G237" s="79"/>
      <c r="H237" s="79"/>
      <c r="I237" s="162" t="s">
        <v>409</v>
      </c>
      <c r="J237" s="103"/>
      <c r="K237" s="62" t="s">
        <v>851</v>
      </c>
      <c r="L237" s="162" t="s">
        <v>409</v>
      </c>
      <c r="M237" s="103"/>
      <c r="N237" s="62" t="s">
        <v>852</v>
      </c>
      <c r="P237" s="115">
        <v>1.0</v>
      </c>
      <c r="Q237" s="115">
        <v>0.5</v>
      </c>
      <c r="R237" s="115">
        <v>1.0</v>
      </c>
      <c r="S237" s="95">
        <f t="shared" ref="S237:S270" si="237">IF(Q237&lt;$D$236,$D$237,0)</f>
        <v>6</v>
      </c>
      <c r="T237" s="95">
        <f t="shared" ref="T237:T270" si="238">IF(AND(Q237&gt;$D$236,Q237&lt;($D$238+$D$236)),$D$239,0)</f>
        <v>0</v>
      </c>
      <c r="U237" s="95">
        <f t="shared" ref="U237:U270" si="239">IF(AND(Q237&gt;$D$242,Q237&lt;$D$243),$D$244,0)</f>
        <v>0</v>
      </c>
      <c r="V237" s="95">
        <f t="shared" ref="V237:V270" si="240">IF(AND(Q237&gt;$D$245,Q237&lt;$D$246),$D$247,0)</f>
        <v>0</v>
      </c>
      <c r="W237" s="91">
        <f t="shared" ref="W237:W270" si="241">MAX(S237:V237)</f>
        <v>6</v>
      </c>
      <c r="X237" s="91">
        <f t="shared" ref="X237:X270" si="242">N47</f>
        <v>0.4324435784</v>
      </c>
      <c r="Y237" s="101">
        <f t="shared" ref="Y237:Y270" si="243">+X237*R237*W237</f>
        <v>2.59466147</v>
      </c>
      <c r="Z237" s="275">
        <f t="shared" ref="Z237:Z270" si="244">+Y237*Q237</f>
        <v>1.297330735</v>
      </c>
      <c r="AA237" s="272"/>
      <c r="AB237" s="276">
        <f t="shared" ref="AB237:AB270" si="245">+Y237*(Q237+$D$265)</f>
        <v>31.99473405</v>
      </c>
      <c r="AC237" s="101">
        <f>IF(Q237=-$D$265,-SUM(AB237:AB$351)/(Q237+$D$265+0.0001),-SUM(AB237:AB$351)/(Q237+$D$265))</f>
        <v>-88814.70122</v>
      </c>
      <c r="AD237" s="101">
        <f>IF(ABS(AC237)&lt;Y237,SUM(Y238:Y351)-AC237,0)</f>
        <v>0</v>
      </c>
      <c r="AF237" s="66" t="s">
        <v>408</v>
      </c>
      <c r="AG237" s="277" t="s">
        <v>448</v>
      </c>
      <c r="AH237" s="278" t="s">
        <v>421</v>
      </c>
      <c r="AI237" s="278" t="s">
        <v>849</v>
      </c>
      <c r="AJ237" s="278" t="s">
        <v>421</v>
      </c>
      <c r="AK237" s="278" t="s">
        <v>849</v>
      </c>
      <c r="AL237" s="270" t="s">
        <v>408</v>
      </c>
    </row>
    <row r="238" ht="12.75" hidden="1" customHeight="1">
      <c r="A238" s="266" t="s">
        <v>797</v>
      </c>
      <c r="B238" s="13" t="s">
        <v>853</v>
      </c>
      <c r="C238" s="267" t="s">
        <v>459</v>
      </c>
      <c r="D238" s="268">
        <f t="shared" si="235"/>
        <v>0</v>
      </c>
      <c r="E238" s="100" t="s">
        <v>799</v>
      </c>
      <c r="G238" s="68"/>
      <c r="H238" s="68"/>
      <c r="I238" s="165"/>
      <c r="J238" s="109"/>
      <c r="K238" s="68"/>
      <c r="L238" s="165"/>
      <c r="M238" s="109"/>
      <c r="N238" s="68"/>
      <c r="P238" s="115">
        <f t="shared" ref="P238:Q238" si="236">+P237+1</f>
        <v>2</v>
      </c>
      <c r="Q238" s="115">
        <f t="shared" si="236"/>
        <v>1.5</v>
      </c>
      <c r="R238" s="115">
        <v>1.0</v>
      </c>
      <c r="S238" s="95">
        <f t="shared" si="237"/>
        <v>6</v>
      </c>
      <c r="T238" s="95">
        <f t="shared" si="238"/>
        <v>0</v>
      </c>
      <c r="U238" s="95">
        <f t="shared" si="239"/>
        <v>0</v>
      </c>
      <c r="V238" s="95">
        <f t="shared" si="240"/>
        <v>0</v>
      </c>
      <c r="W238" s="91">
        <f t="shared" si="241"/>
        <v>6</v>
      </c>
      <c r="X238" s="91">
        <f t="shared" si="242"/>
        <v>1.297330735</v>
      </c>
      <c r="Y238" s="101">
        <f t="shared" si="243"/>
        <v>7.783984411</v>
      </c>
      <c r="Z238" s="275">
        <f t="shared" si="244"/>
        <v>11.67597662</v>
      </c>
      <c r="AA238" s="272"/>
      <c r="AB238" s="276">
        <f t="shared" si="245"/>
        <v>103.7681866</v>
      </c>
      <c r="AC238" s="101">
        <f t="shared" ref="AC238:AC270" si="249">IF(Q238=-$D$265,+(SUM(AB$237:AB237)-SUM(AB239:AB$351))/(Q238+$D$265+0.0001),+(SUM(AB$237:AB237)-SUM(AB239:AB$351))/(Q238+$D$265))</f>
        <v>-82139.84165</v>
      </c>
      <c r="AD238" s="101">
        <f>IF(ABS(AC238)&lt;Y238,SUM(Y$237:Y237)-AC238-SUM(Y238:Y351),0)</f>
        <v>0</v>
      </c>
      <c r="AF238" s="115">
        <v>0.0</v>
      </c>
      <c r="AG238" s="131">
        <f t="shared" ref="AG238:AG270" si="250">+AF238/$D$240</f>
        <v>0</v>
      </c>
      <c r="AH238" s="90">
        <f>-SUM(Y$237:Y$351)</f>
        <v>-24396.40593</v>
      </c>
      <c r="AI238" s="90">
        <f>SUM(Z$237:Z$351)</f>
        <v>806539.2949</v>
      </c>
      <c r="AJ238" s="90">
        <f t="shared" ref="AJ238:AK238" si="246">-AH238</f>
        <v>24396.40593</v>
      </c>
      <c r="AK238" s="90">
        <f t="shared" si="246"/>
        <v>-806539.2949</v>
      </c>
      <c r="AL238" s="101">
        <f t="shared" ref="AL238:AL270" si="252">+AK238/AJ238</f>
        <v>-33.05975878</v>
      </c>
    </row>
    <row r="239" ht="12.75" hidden="1" customHeight="1">
      <c r="A239" s="79"/>
      <c r="B239" s="13" t="s">
        <v>854</v>
      </c>
      <c r="C239" s="267" t="s">
        <v>408</v>
      </c>
      <c r="D239" s="268">
        <f t="shared" si="235"/>
        <v>0</v>
      </c>
      <c r="E239" s="68"/>
      <c r="G239" s="279" t="s">
        <v>414</v>
      </c>
      <c r="H239" s="212" t="s">
        <v>855</v>
      </c>
      <c r="I239" s="280" t="s">
        <v>856</v>
      </c>
      <c r="J239" s="74">
        <f>IF((0.86-0.01*L$234)&gt;0.93,0.93,(0.86-0.01*L$234))</f>
        <v>0.56</v>
      </c>
      <c r="K239" s="75">
        <f t="shared" ref="K239:K243" si="253">IF((J239*1.25)&gt;0.93,0.93,(J239*1.25))</f>
        <v>0.7</v>
      </c>
      <c r="L239" s="280" t="s">
        <v>857</v>
      </c>
      <c r="M239" s="77">
        <f t="shared" ref="M239:N239" si="247">1.4/J239</f>
        <v>2.5</v>
      </c>
      <c r="N239" s="91">
        <f t="shared" si="247"/>
        <v>2</v>
      </c>
      <c r="P239" s="115">
        <f t="shared" ref="P239:Q239" si="248">+P238+1</f>
        <v>3</v>
      </c>
      <c r="Q239" s="115">
        <f t="shared" si="248"/>
        <v>2.5</v>
      </c>
      <c r="R239" s="115">
        <v>1.0</v>
      </c>
      <c r="S239" s="95">
        <f t="shared" si="237"/>
        <v>6</v>
      </c>
      <c r="T239" s="95">
        <f t="shared" si="238"/>
        <v>0</v>
      </c>
      <c r="U239" s="95">
        <f t="shared" si="239"/>
        <v>0</v>
      </c>
      <c r="V239" s="95">
        <f t="shared" si="240"/>
        <v>0</v>
      </c>
      <c r="W239" s="91">
        <f t="shared" si="241"/>
        <v>6</v>
      </c>
      <c r="X239" s="91">
        <f t="shared" si="242"/>
        <v>2.162217892</v>
      </c>
      <c r="Y239" s="101">
        <f t="shared" si="243"/>
        <v>12.97330735</v>
      </c>
      <c r="Z239" s="275">
        <f t="shared" si="244"/>
        <v>32.43326838</v>
      </c>
      <c r="AA239" s="272"/>
      <c r="AB239" s="276">
        <f t="shared" si="245"/>
        <v>185.9202849</v>
      </c>
      <c r="AC239" s="101">
        <f t="shared" si="249"/>
        <v>-76388.0022</v>
      </c>
      <c r="AD239" s="101">
        <f>IF(ABS(AC239)&lt;Y239,SUM(Y$237:Y238)-AC239-SUM(Y239:Y351),0)</f>
        <v>0</v>
      </c>
      <c r="AF239" s="115">
        <f t="shared" ref="AF239:AF270" si="256">+AF238+1</f>
        <v>1</v>
      </c>
      <c r="AG239" s="131">
        <f t="shared" si="250"/>
        <v>0.01388888889</v>
      </c>
      <c r="AH239" s="90">
        <f t="shared" ref="AH239:AH270" si="257">SUM(Y$237:Y238)-SUM(Y239:Y$351)</f>
        <v>-24375.64863</v>
      </c>
      <c r="AI239" s="90">
        <f t="shared" ref="AI239:AI270" si="258">-SUM(Z$237:Z238)+SUM(Z239:Z$351)</f>
        <v>806513.3483</v>
      </c>
      <c r="AJ239" s="90">
        <f t="shared" ref="AJ239:AK239" si="251">-AH239</f>
        <v>24375.64863</v>
      </c>
      <c r="AK239" s="90">
        <f t="shared" si="251"/>
        <v>-806513.3483</v>
      </c>
      <c r="AL239" s="101">
        <f t="shared" si="252"/>
        <v>-33.08684665</v>
      </c>
    </row>
    <row r="240" ht="12.75" hidden="1" customHeight="1">
      <c r="A240" s="79"/>
      <c r="B240" s="97" t="s">
        <v>858</v>
      </c>
      <c r="C240" s="98" t="s">
        <v>408</v>
      </c>
      <c r="D240" s="281">
        <f>+D236+D238</f>
        <v>72</v>
      </c>
      <c r="E240" s="97" t="s">
        <v>859</v>
      </c>
      <c r="G240" s="79"/>
      <c r="H240" s="212" t="s">
        <v>860</v>
      </c>
      <c r="I240" s="280" t="s">
        <v>861</v>
      </c>
      <c r="J240" s="82">
        <f>IF((0.66-0.01*L$234)&gt;0.93,0.93,(0.66-0.01*L$234))</f>
        <v>0.36</v>
      </c>
      <c r="K240" s="75">
        <f t="shared" si="253"/>
        <v>0.45</v>
      </c>
      <c r="L240" s="280" t="s">
        <v>862</v>
      </c>
      <c r="M240" s="77">
        <f t="shared" ref="M240:N240" si="254">1.4/J240</f>
        <v>3.888888889</v>
      </c>
      <c r="N240" s="91">
        <f t="shared" si="254"/>
        <v>3.111111111</v>
      </c>
      <c r="P240" s="115">
        <f t="shared" ref="P240:Q240" si="255">+P239+1</f>
        <v>4</v>
      </c>
      <c r="Q240" s="115">
        <f t="shared" si="255"/>
        <v>3.5</v>
      </c>
      <c r="R240" s="115">
        <v>1.0</v>
      </c>
      <c r="S240" s="95">
        <f t="shared" si="237"/>
        <v>6</v>
      </c>
      <c r="T240" s="95">
        <f t="shared" si="238"/>
        <v>0</v>
      </c>
      <c r="U240" s="95">
        <f t="shared" si="239"/>
        <v>0</v>
      </c>
      <c r="V240" s="95">
        <f t="shared" si="240"/>
        <v>0</v>
      </c>
      <c r="W240" s="91">
        <f t="shared" si="241"/>
        <v>6</v>
      </c>
      <c r="X240" s="91">
        <f t="shared" si="242"/>
        <v>3.027105049</v>
      </c>
      <c r="Y240" s="101">
        <f t="shared" si="243"/>
        <v>18.16263029</v>
      </c>
      <c r="Z240" s="275">
        <f t="shared" si="244"/>
        <v>63.56920602</v>
      </c>
      <c r="AA240" s="272"/>
      <c r="AB240" s="276">
        <f t="shared" si="245"/>
        <v>278.4510292</v>
      </c>
      <c r="AC240" s="101">
        <f t="shared" si="249"/>
        <v>-71375.12345</v>
      </c>
      <c r="AD240" s="101">
        <f>IF(ABS(AC240)&lt;Y240,SUM(Y$237:Y239)-AC240-SUM(Y240:Y351),0)</f>
        <v>0</v>
      </c>
      <c r="AF240" s="115">
        <f t="shared" si="256"/>
        <v>2</v>
      </c>
      <c r="AG240" s="131">
        <f t="shared" si="250"/>
        <v>0.02777777778</v>
      </c>
      <c r="AH240" s="90">
        <f t="shared" si="257"/>
        <v>-24349.70202</v>
      </c>
      <c r="AI240" s="90">
        <f t="shared" si="258"/>
        <v>806448.4818</v>
      </c>
      <c r="AJ240" s="90">
        <f t="shared" ref="AJ240:AK240" si="259">-AH240</f>
        <v>24349.70202</v>
      </c>
      <c r="AK240" s="90">
        <f t="shared" si="259"/>
        <v>-806448.4818</v>
      </c>
      <c r="AL240" s="101">
        <f t="shared" si="252"/>
        <v>-33.11943945</v>
      </c>
    </row>
    <row r="241" ht="12.75" hidden="1" customHeight="1">
      <c r="A241" s="68"/>
      <c r="B241" s="68"/>
      <c r="C241" s="68"/>
      <c r="D241" s="68"/>
      <c r="E241" s="68"/>
      <c r="G241" s="79"/>
      <c r="H241" s="212" t="s">
        <v>863</v>
      </c>
      <c r="I241" s="280" t="s">
        <v>864</v>
      </c>
      <c r="J241" s="82">
        <f>IF((0.767-0.01*L$234)&gt;0.93,0.93,(0.76-0.01*L$234))</f>
        <v>0.46</v>
      </c>
      <c r="K241" s="75">
        <f t="shared" si="253"/>
        <v>0.575</v>
      </c>
      <c r="L241" s="280" t="s">
        <v>865</v>
      </c>
      <c r="M241" s="77">
        <f t="shared" ref="M241:N241" si="260">1.4/J241</f>
        <v>3.043478261</v>
      </c>
      <c r="N241" s="91">
        <f t="shared" si="260"/>
        <v>2.434782609</v>
      </c>
      <c r="P241" s="115">
        <f t="shared" ref="P241:Q241" si="261">+P240+1</f>
        <v>5</v>
      </c>
      <c r="Q241" s="115">
        <f t="shared" si="261"/>
        <v>4.5</v>
      </c>
      <c r="R241" s="115">
        <v>1.0</v>
      </c>
      <c r="S241" s="95">
        <f t="shared" si="237"/>
        <v>6</v>
      </c>
      <c r="T241" s="95">
        <f t="shared" si="238"/>
        <v>0</v>
      </c>
      <c r="U241" s="95">
        <f t="shared" si="239"/>
        <v>0</v>
      </c>
      <c r="V241" s="95">
        <f t="shared" si="240"/>
        <v>0</v>
      </c>
      <c r="W241" s="91">
        <f t="shared" si="241"/>
        <v>6</v>
      </c>
      <c r="X241" s="91">
        <f t="shared" si="242"/>
        <v>3.891992206</v>
      </c>
      <c r="Y241" s="101">
        <f t="shared" si="243"/>
        <v>23.35195323</v>
      </c>
      <c r="Z241" s="275">
        <f t="shared" si="244"/>
        <v>105.0837895</v>
      </c>
      <c r="AA241" s="272"/>
      <c r="AB241" s="276">
        <f t="shared" si="245"/>
        <v>381.3604194</v>
      </c>
      <c r="AC241" s="101">
        <f t="shared" si="249"/>
        <v>-66964.18738</v>
      </c>
      <c r="AD241" s="101">
        <f>IF(ABS(AC241)&lt;Y241,SUM(Y$237:Y240)-AC241-SUM(Y241:Y351),0)</f>
        <v>0</v>
      </c>
      <c r="AF241" s="115">
        <f t="shared" si="256"/>
        <v>3</v>
      </c>
      <c r="AG241" s="131">
        <f t="shared" si="250"/>
        <v>0.04166666667</v>
      </c>
      <c r="AH241" s="90">
        <f t="shared" si="257"/>
        <v>-24313.37676</v>
      </c>
      <c r="AI241" s="90">
        <f t="shared" si="258"/>
        <v>806321.3434</v>
      </c>
      <c r="AJ241" s="90">
        <f t="shared" ref="AJ241:AK241" si="262">-AH241</f>
        <v>24313.37676</v>
      </c>
      <c r="AK241" s="90">
        <f t="shared" si="262"/>
        <v>-806321.3434</v>
      </c>
      <c r="AL241" s="101">
        <f t="shared" si="252"/>
        <v>-33.16369221</v>
      </c>
    </row>
    <row r="242" ht="12.75" hidden="1" customHeight="1">
      <c r="A242" s="266" t="s">
        <v>801</v>
      </c>
      <c r="B242" s="13" t="s">
        <v>866</v>
      </c>
      <c r="C242" s="267" t="s">
        <v>459</v>
      </c>
      <c r="D242" s="268">
        <f t="shared" ref="D242:D247" si="266">C217</f>
        <v>6</v>
      </c>
      <c r="E242" s="100" t="s">
        <v>803</v>
      </c>
      <c r="G242" s="79"/>
      <c r="H242" s="212" t="s">
        <v>867</v>
      </c>
      <c r="I242" s="280" t="s">
        <v>868</v>
      </c>
      <c r="J242" s="82">
        <f>IF((0.61-0.01*L$234)&gt;0.93,0.93,(0.61-0.01*L$234))</f>
        <v>0.31</v>
      </c>
      <c r="K242" s="75">
        <f t="shared" si="253"/>
        <v>0.3875</v>
      </c>
      <c r="L242" s="280" t="s">
        <v>869</v>
      </c>
      <c r="M242" s="77">
        <f t="shared" ref="M242:N242" si="263">1.4/J242</f>
        <v>4.516129032</v>
      </c>
      <c r="N242" s="91">
        <f t="shared" si="263"/>
        <v>3.612903226</v>
      </c>
      <c r="P242" s="115">
        <f t="shared" ref="P242:Q242" si="264">+P241+1</f>
        <v>6</v>
      </c>
      <c r="Q242" s="115">
        <f t="shared" si="264"/>
        <v>5.5</v>
      </c>
      <c r="R242" s="115">
        <v>1.0</v>
      </c>
      <c r="S242" s="95">
        <f t="shared" si="237"/>
        <v>6</v>
      </c>
      <c r="T242" s="95">
        <f t="shared" si="238"/>
        <v>0</v>
      </c>
      <c r="U242" s="95">
        <f t="shared" si="239"/>
        <v>0</v>
      </c>
      <c r="V242" s="95">
        <f t="shared" si="240"/>
        <v>0</v>
      </c>
      <c r="W242" s="91">
        <f t="shared" si="241"/>
        <v>6</v>
      </c>
      <c r="X242" s="91">
        <f t="shared" si="242"/>
        <v>4.756879362</v>
      </c>
      <c r="Y242" s="101">
        <f t="shared" si="243"/>
        <v>28.54127617</v>
      </c>
      <c r="Z242" s="275">
        <f t="shared" si="244"/>
        <v>156.977019</v>
      </c>
      <c r="AA242" s="272"/>
      <c r="AB242" s="276">
        <f t="shared" si="245"/>
        <v>494.6484554</v>
      </c>
      <c r="AC242" s="101">
        <f t="shared" si="249"/>
        <v>-63049.79978</v>
      </c>
      <c r="AD242" s="101">
        <f>IF(ABS(AC242)&lt;Y242,SUM(Y$237:Y241)-AC242-SUM(Y242:Y351),0)</f>
        <v>0</v>
      </c>
      <c r="AF242" s="115">
        <f t="shared" si="256"/>
        <v>4</v>
      </c>
      <c r="AG242" s="131">
        <f t="shared" si="250"/>
        <v>0.05555555556</v>
      </c>
      <c r="AH242" s="90">
        <f t="shared" si="257"/>
        <v>-24266.67285</v>
      </c>
      <c r="AI242" s="90">
        <f t="shared" si="258"/>
        <v>806111.1758</v>
      </c>
      <c r="AJ242" s="90">
        <f t="shared" ref="AJ242:AK242" si="265">-AH242</f>
        <v>24266.67285</v>
      </c>
      <c r="AK242" s="90">
        <f t="shared" si="265"/>
        <v>-806111.1758</v>
      </c>
      <c r="AL242" s="101">
        <f t="shared" si="252"/>
        <v>-33.21885867</v>
      </c>
    </row>
    <row r="243" ht="12.75" hidden="1" customHeight="1">
      <c r="A243" s="79"/>
      <c r="B243" s="13" t="s">
        <v>870</v>
      </c>
      <c r="C243" s="267" t="s">
        <v>459</v>
      </c>
      <c r="D243" s="268">
        <f t="shared" si="266"/>
        <v>36</v>
      </c>
      <c r="E243" s="79"/>
      <c r="G243" s="79"/>
      <c r="H243" s="212" t="s">
        <v>871</v>
      </c>
      <c r="I243" s="280" t="s">
        <v>872</v>
      </c>
      <c r="J243" s="82">
        <f>IF((0.82-0.01*L$4)&gt;0.93,0.93,(0.82-0.01*L$4))</f>
        <v>0.82</v>
      </c>
      <c r="K243" s="75">
        <f t="shared" si="253"/>
        <v>0.93</v>
      </c>
      <c r="L243" s="280" t="s">
        <v>873</v>
      </c>
      <c r="M243" s="77">
        <f t="shared" ref="M243:N243" si="267">1.4/J243</f>
        <v>1.707317073</v>
      </c>
      <c r="N243" s="91">
        <f t="shared" si="267"/>
        <v>1.505376344</v>
      </c>
      <c r="P243" s="115">
        <f t="shared" ref="P243:Q243" si="268">+P242+1</f>
        <v>7</v>
      </c>
      <c r="Q243" s="115">
        <f t="shared" si="268"/>
        <v>6.5</v>
      </c>
      <c r="R243" s="115">
        <v>1.0</v>
      </c>
      <c r="S243" s="95">
        <f t="shared" si="237"/>
        <v>6</v>
      </c>
      <c r="T243" s="95">
        <f t="shared" si="238"/>
        <v>0</v>
      </c>
      <c r="U243" s="95">
        <f t="shared" si="239"/>
        <v>36</v>
      </c>
      <c r="V243" s="95">
        <f t="shared" si="240"/>
        <v>0</v>
      </c>
      <c r="W243" s="91">
        <f t="shared" si="241"/>
        <v>36</v>
      </c>
      <c r="X243" s="91">
        <f t="shared" si="242"/>
        <v>5.621766519</v>
      </c>
      <c r="Y243" s="101">
        <f t="shared" si="243"/>
        <v>202.3835947</v>
      </c>
      <c r="Z243" s="275">
        <f t="shared" si="244"/>
        <v>1315.493365</v>
      </c>
      <c r="AA243" s="272"/>
      <c r="AB243" s="276">
        <f t="shared" si="245"/>
        <v>3709.890824</v>
      </c>
      <c r="AC243" s="101">
        <f t="shared" si="249"/>
        <v>-59380.91152</v>
      </c>
      <c r="AD243" s="101">
        <f>IF(ABS(AC243)&lt;Y243,SUM(Y$237:Y242)-AC243-SUM(Y243:Y351),0)</f>
        <v>0</v>
      </c>
      <c r="AF243" s="115">
        <f t="shared" si="256"/>
        <v>5</v>
      </c>
      <c r="AG243" s="131">
        <f t="shared" si="250"/>
        <v>0.06944444444</v>
      </c>
      <c r="AH243" s="90">
        <f t="shared" si="257"/>
        <v>-24209.5903</v>
      </c>
      <c r="AI243" s="90">
        <f t="shared" si="258"/>
        <v>805797.2217</v>
      </c>
      <c r="AJ243" s="90">
        <f t="shared" ref="AJ243:AK243" si="269">-AH243</f>
        <v>24209.5903</v>
      </c>
      <c r="AK243" s="90">
        <f t="shared" si="269"/>
        <v>-805797.2217</v>
      </c>
      <c r="AL243" s="101">
        <f t="shared" si="252"/>
        <v>-33.28421554</v>
      </c>
    </row>
    <row r="244" ht="12.75" hidden="1" customHeight="1">
      <c r="A244" s="68"/>
      <c r="B244" s="13" t="s">
        <v>874</v>
      </c>
      <c r="C244" s="267" t="s">
        <v>408</v>
      </c>
      <c r="D244" s="268">
        <f t="shared" si="266"/>
        <v>36</v>
      </c>
      <c r="E244" s="68"/>
      <c r="G244" s="68"/>
      <c r="H244" s="212" t="s">
        <v>875</v>
      </c>
      <c r="I244" s="282">
        <v>0.56</v>
      </c>
      <c r="J244" s="3"/>
      <c r="K244" s="88">
        <f t="shared" ref="K244:K251" si="272">+I244*1.25</f>
        <v>0.7</v>
      </c>
      <c r="L244" s="282">
        <v>2.5</v>
      </c>
      <c r="M244" s="3"/>
      <c r="N244" s="119">
        <f t="shared" ref="N244:N251" si="273">+L244*0.8</f>
        <v>2</v>
      </c>
      <c r="P244" s="115">
        <f t="shared" ref="P244:Q244" si="270">+P243+1</f>
        <v>8</v>
      </c>
      <c r="Q244" s="115">
        <f t="shared" si="270"/>
        <v>7.5</v>
      </c>
      <c r="R244" s="115">
        <v>1.0</v>
      </c>
      <c r="S244" s="95">
        <f t="shared" si="237"/>
        <v>6</v>
      </c>
      <c r="T244" s="95">
        <f t="shared" si="238"/>
        <v>0</v>
      </c>
      <c r="U244" s="95">
        <f t="shared" si="239"/>
        <v>36</v>
      </c>
      <c r="V244" s="95">
        <f t="shared" si="240"/>
        <v>0</v>
      </c>
      <c r="W244" s="91">
        <f t="shared" si="241"/>
        <v>36</v>
      </c>
      <c r="X244" s="91">
        <f t="shared" si="242"/>
        <v>6.486653676</v>
      </c>
      <c r="Y244" s="101">
        <f t="shared" si="243"/>
        <v>233.5195323</v>
      </c>
      <c r="Z244" s="275">
        <f t="shared" si="244"/>
        <v>1751.396492</v>
      </c>
      <c r="AA244" s="272"/>
      <c r="AB244" s="276">
        <f t="shared" si="245"/>
        <v>4514.162791</v>
      </c>
      <c r="AC244" s="101">
        <f t="shared" si="249"/>
        <v>-55883.67835</v>
      </c>
      <c r="AD244" s="101">
        <f>IF(ABS(AC244)&lt;Y244,SUM(Y$237:Y243)-AC244-SUM(Y244:Y351),0)</f>
        <v>0</v>
      </c>
      <c r="AF244" s="115">
        <f t="shared" si="256"/>
        <v>6</v>
      </c>
      <c r="AG244" s="131">
        <f t="shared" si="250"/>
        <v>0.08333333333</v>
      </c>
      <c r="AH244" s="90">
        <f t="shared" si="257"/>
        <v>-23804.82311</v>
      </c>
      <c r="AI244" s="90">
        <f t="shared" si="258"/>
        <v>803166.235</v>
      </c>
      <c r="AJ244" s="90">
        <f t="shared" ref="AJ244:AK244" si="271">-AH244</f>
        <v>23804.82311</v>
      </c>
      <c r="AK244" s="90">
        <f t="shared" si="271"/>
        <v>-803166.235</v>
      </c>
      <c r="AL244" s="101">
        <f t="shared" si="252"/>
        <v>-33.73964307</v>
      </c>
    </row>
    <row r="245" ht="12.75" hidden="1" customHeight="1">
      <c r="A245" s="266" t="s">
        <v>805</v>
      </c>
      <c r="B245" s="13" t="s">
        <v>866</v>
      </c>
      <c r="C245" s="267" t="s">
        <v>459</v>
      </c>
      <c r="D245" s="274">
        <f t="shared" si="266"/>
        <v>0</v>
      </c>
      <c r="E245" s="100" t="s">
        <v>876</v>
      </c>
      <c r="G245" s="279" t="s">
        <v>465</v>
      </c>
      <c r="H245" s="212" t="s">
        <v>877</v>
      </c>
      <c r="I245" s="282">
        <v>0.68</v>
      </c>
      <c r="J245" s="3"/>
      <c r="K245" s="88">
        <f t="shared" si="272"/>
        <v>0.85</v>
      </c>
      <c r="L245" s="282">
        <v>2.1</v>
      </c>
      <c r="M245" s="3"/>
      <c r="N245" s="119">
        <f t="shared" si="273"/>
        <v>1.68</v>
      </c>
      <c r="P245" s="115">
        <f t="shared" ref="P245:Q245" si="274">+P244+1</f>
        <v>9</v>
      </c>
      <c r="Q245" s="115">
        <f t="shared" si="274"/>
        <v>8.5</v>
      </c>
      <c r="R245" s="115">
        <v>1.0</v>
      </c>
      <c r="S245" s="95">
        <f t="shared" si="237"/>
        <v>6</v>
      </c>
      <c r="T245" s="95">
        <f t="shared" si="238"/>
        <v>0</v>
      </c>
      <c r="U245" s="95">
        <f t="shared" si="239"/>
        <v>36</v>
      </c>
      <c r="V245" s="95">
        <f t="shared" si="240"/>
        <v>0</v>
      </c>
      <c r="W245" s="91">
        <f t="shared" si="241"/>
        <v>36</v>
      </c>
      <c r="X245" s="91">
        <f t="shared" si="242"/>
        <v>7.351540833</v>
      </c>
      <c r="Y245" s="101">
        <f t="shared" si="243"/>
        <v>264.65547</v>
      </c>
      <c r="Z245" s="275">
        <f t="shared" si="244"/>
        <v>2249.571495</v>
      </c>
      <c r="AA245" s="272"/>
      <c r="AB245" s="276">
        <f t="shared" si="245"/>
        <v>5380.706633</v>
      </c>
      <c r="AC245" s="101">
        <f t="shared" si="249"/>
        <v>-52648.29429</v>
      </c>
      <c r="AD245" s="101">
        <f>IF(ABS(AC245)&lt;Y245,SUM(Y$237:Y244)-AC245-SUM(Y245:Y351),0)</f>
        <v>0</v>
      </c>
      <c r="AF245" s="115">
        <f t="shared" si="256"/>
        <v>7</v>
      </c>
      <c r="AG245" s="131">
        <f t="shared" si="250"/>
        <v>0.09722222222</v>
      </c>
      <c r="AH245" s="90">
        <f t="shared" si="257"/>
        <v>-23337.78405</v>
      </c>
      <c r="AI245" s="90">
        <f t="shared" si="258"/>
        <v>799663.442</v>
      </c>
      <c r="AJ245" s="90">
        <f t="shared" ref="AJ245:AK245" si="275">-AH245</f>
        <v>23337.78405</v>
      </c>
      <c r="AK245" s="90">
        <f t="shared" si="275"/>
        <v>-799663.442</v>
      </c>
      <c r="AL245" s="101">
        <f t="shared" si="252"/>
        <v>-34.26475455</v>
      </c>
    </row>
    <row r="246" ht="12.75" hidden="1" customHeight="1">
      <c r="A246" s="79"/>
      <c r="B246" s="13" t="s">
        <v>870</v>
      </c>
      <c r="C246" s="267" t="s">
        <v>459</v>
      </c>
      <c r="D246" s="274">
        <f t="shared" si="266"/>
        <v>0</v>
      </c>
      <c r="E246" s="79"/>
      <c r="G246" s="79"/>
      <c r="H246" s="212" t="s">
        <v>878</v>
      </c>
      <c r="I246" s="282">
        <v>0.68</v>
      </c>
      <c r="J246" s="3"/>
      <c r="K246" s="88">
        <f t="shared" si="272"/>
        <v>0.85</v>
      </c>
      <c r="L246" s="282">
        <v>2.1</v>
      </c>
      <c r="M246" s="3"/>
      <c r="N246" s="119">
        <f t="shared" si="273"/>
        <v>1.68</v>
      </c>
      <c r="P246" s="115">
        <f t="shared" ref="P246:Q246" si="276">+P245+1</f>
        <v>10</v>
      </c>
      <c r="Q246" s="115">
        <f t="shared" si="276"/>
        <v>9.5</v>
      </c>
      <c r="R246" s="115">
        <v>1.0</v>
      </c>
      <c r="S246" s="95">
        <f t="shared" si="237"/>
        <v>6</v>
      </c>
      <c r="T246" s="95">
        <f t="shared" si="238"/>
        <v>0</v>
      </c>
      <c r="U246" s="95">
        <f t="shared" si="239"/>
        <v>36</v>
      </c>
      <c r="V246" s="95">
        <f t="shared" si="240"/>
        <v>0</v>
      </c>
      <c r="W246" s="91">
        <f t="shared" si="241"/>
        <v>36</v>
      </c>
      <c r="X246" s="91">
        <f t="shared" si="242"/>
        <v>8.216427989</v>
      </c>
      <c r="Y246" s="101">
        <f t="shared" si="243"/>
        <v>295.7914076</v>
      </c>
      <c r="Z246" s="275">
        <f t="shared" si="244"/>
        <v>2810.018372</v>
      </c>
      <c r="AA246" s="272"/>
      <c r="AB246" s="276">
        <f t="shared" si="245"/>
        <v>6309.52235</v>
      </c>
      <c r="AC246" s="101">
        <f t="shared" si="249"/>
        <v>-49632.09413</v>
      </c>
      <c r="AD246" s="101">
        <f>IF(ABS(AC246)&lt;Y246,SUM(Y$237:Y245)-AC246-SUM(Y246:Y351),0)</f>
        <v>0</v>
      </c>
      <c r="AF246" s="115">
        <f t="shared" si="256"/>
        <v>8</v>
      </c>
      <c r="AG246" s="131">
        <f t="shared" si="250"/>
        <v>0.1111111111</v>
      </c>
      <c r="AH246" s="90">
        <f t="shared" si="257"/>
        <v>-22808.47311</v>
      </c>
      <c r="AI246" s="90">
        <f t="shared" si="258"/>
        <v>795164.299</v>
      </c>
      <c r="AJ246" s="90">
        <f t="shared" ref="AJ246:AK246" si="277">-AH246</f>
        <v>22808.47311</v>
      </c>
      <c r="AK246" s="90">
        <f t="shared" si="277"/>
        <v>-795164.299</v>
      </c>
      <c r="AL246" s="101">
        <f t="shared" si="252"/>
        <v>-34.86267122</v>
      </c>
    </row>
    <row r="247" ht="12.75" hidden="1" customHeight="1">
      <c r="A247" s="68"/>
      <c r="B247" s="13" t="s">
        <v>879</v>
      </c>
      <c r="C247" s="267" t="s">
        <v>408</v>
      </c>
      <c r="D247" s="274">
        <f t="shared" si="266"/>
        <v>0</v>
      </c>
      <c r="E247" s="68"/>
      <c r="G247" s="79"/>
      <c r="H247" s="212" t="s">
        <v>880</v>
      </c>
      <c r="I247" s="282">
        <v>0.68</v>
      </c>
      <c r="J247" s="3"/>
      <c r="K247" s="88">
        <f t="shared" si="272"/>
        <v>0.85</v>
      </c>
      <c r="L247" s="282">
        <v>2.1</v>
      </c>
      <c r="M247" s="3"/>
      <c r="N247" s="119">
        <f t="shared" si="273"/>
        <v>1.68</v>
      </c>
      <c r="P247" s="115">
        <f t="shared" ref="P247:Q247" si="278">+P246+1</f>
        <v>11</v>
      </c>
      <c r="Q247" s="115">
        <f t="shared" si="278"/>
        <v>10.5</v>
      </c>
      <c r="R247" s="115">
        <v>1.0</v>
      </c>
      <c r="S247" s="95">
        <f t="shared" si="237"/>
        <v>6</v>
      </c>
      <c r="T247" s="95">
        <f t="shared" si="238"/>
        <v>0</v>
      </c>
      <c r="U247" s="95">
        <f t="shared" si="239"/>
        <v>36</v>
      </c>
      <c r="V247" s="95">
        <f t="shared" si="240"/>
        <v>0</v>
      </c>
      <c r="W247" s="91">
        <f t="shared" si="241"/>
        <v>36</v>
      </c>
      <c r="X247" s="91">
        <f t="shared" si="242"/>
        <v>9.081315146</v>
      </c>
      <c r="Y247" s="101">
        <f t="shared" si="243"/>
        <v>326.9273453</v>
      </c>
      <c r="Z247" s="275">
        <f t="shared" si="244"/>
        <v>3432.737125</v>
      </c>
      <c r="AA247" s="272"/>
      <c r="AB247" s="276">
        <f t="shared" si="245"/>
        <v>7300.609943</v>
      </c>
      <c r="AC247" s="101">
        <f t="shared" si="249"/>
        <v>-46800.05497</v>
      </c>
      <c r="AD247" s="101">
        <f>IF(ABS(AC247)&lt;Y247,SUM(Y$237:Y246)-AC247-SUM(Y247:Y351),0)</f>
        <v>0</v>
      </c>
      <c r="AF247" s="115">
        <f t="shared" si="256"/>
        <v>9</v>
      </c>
      <c r="AG247" s="131">
        <f t="shared" si="250"/>
        <v>0.125</v>
      </c>
      <c r="AH247" s="90">
        <f t="shared" si="257"/>
        <v>-22216.89029</v>
      </c>
      <c r="AI247" s="90">
        <f t="shared" si="258"/>
        <v>789544.2623</v>
      </c>
      <c r="AJ247" s="90">
        <f t="shared" ref="AJ247:AK247" si="279">-AH247</f>
        <v>22216.89029</v>
      </c>
      <c r="AK247" s="90">
        <f t="shared" si="279"/>
        <v>-789544.2623</v>
      </c>
      <c r="AL247" s="101">
        <f t="shared" si="252"/>
        <v>-35.53801869</v>
      </c>
    </row>
    <row r="248" ht="12.75" hidden="1" customHeight="1">
      <c r="A248" s="283" t="s">
        <v>881</v>
      </c>
      <c r="B248" s="2"/>
      <c r="C248" s="2"/>
      <c r="D248" s="2"/>
      <c r="E248" s="3"/>
      <c r="G248" s="79"/>
      <c r="H248" s="212" t="s">
        <v>882</v>
      </c>
      <c r="I248" s="282">
        <v>0.68</v>
      </c>
      <c r="J248" s="3"/>
      <c r="K248" s="88">
        <f t="shared" si="272"/>
        <v>0.85</v>
      </c>
      <c r="L248" s="282">
        <v>2.1</v>
      </c>
      <c r="M248" s="3"/>
      <c r="N248" s="119">
        <f t="shared" si="273"/>
        <v>1.68</v>
      </c>
      <c r="P248" s="115">
        <f t="shared" ref="P248:Q248" si="280">+P247+1</f>
        <v>12</v>
      </c>
      <c r="Q248" s="115">
        <f t="shared" si="280"/>
        <v>11.5</v>
      </c>
      <c r="R248" s="115">
        <v>1.0</v>
      </c>
      <c r="S248" s="95">
        <f t="shared" si="237"/>
        <v>6</v>
      </c>
      <c r="T248" s="95">
        <f t="shared" si="238"/>
        <v>0</v>
      </c>
      <c r="U248" s="95">
        <f t="shared" si="239"/>
        <v>36</v>
      </c>
      <c r="V248" s="95">
        <f t="shared" si="240"/>
        <v>0</v>
      </c>
      <c r="W248" s="91">
        <f t="shared" si="241"/>
        <v>36</v>
      </c>
      <c r="X248" s="91">
        <f t="shared" si="242"/>
        <v>9.946202303</v>
      </c>
      <c r="Y248" s="101">
        <f t="shared" si="243"/>
        <v>358.0632829</v>
      </c>
      <c r="Z248" s="275">
        <f t="shared" si="244"/>
        <v>4117.727753</v>
      </c>
      <c r="AA248" s="272"/>
      <c r="AB248" s="276">
        <f t="shared" si="245"/>
        <v>8353.96941</v>
      </c>
      <c r="AC248" s="101">
        <f t="shared" si="249"/>
        <v>-44123.15848</v>
      </c>
      <c r="AD248" s="101">
        <f>IF(ABS(AC248)&lt;Y248,SUM(Y$237:Y247)-AC248-SUM(Y248:Y351),0)</f>
        <v>0</v>
      </c>
      <c r="AF248" s="115">
        <f t="shared" si="256"/>
        <v>10</v>
      </c>
      <c r="AG248" s="131">
        <f t="shared" si="250"/>
        <v>0.1388888889</v>
      </c>
      <c r="AH248" s="90">
        <f t="shared" si="257"/>
        <v>-21563.0356</v>
      </c>
      <c r="AI248" s="90">
        <f t="shared" si="258"/>
        <v>782678.788</v>
      </c>
      <c r="AJ248" s="90">
        <f t="shared" ref="AJ248:AK248" si="281">-AH248</f>
        <v>21563.0356</v>
      </c>
      <c r="AK248" s="90">
        <f t="shared" si="281"/>
        <v>-782678.788</v>
      </c>
      <c r="AL248" s="101">
        <f t="shared" si="252"/>
        <v>-36.29724509</v>
      </c>
    </row>
    <row r="249" ht="12.75" hidden="1" customHeight="1">
      <c r="B249" s="35"/>
      <c r="G249" s="79"/>
      <c r="H249" s="212" t="s">
        <v>883</v>
      </c>
      <c r="I249" s="282">
        <v>0.44</v>
      </c>
      <c r="J249" s="3"/>
      <c r="K249" s="88">
        <f t="shared" si="272"/>
        <v>0.55</v>
      </c>
      <c r="L249" s="282">
        <v>3.2</v>
      </c>
      <c r="M249" s="3"/>
      <c r="N249" s="119">
        <f t="shared" si="273"/>
        <v>2.56</v>
      </c>
      <c r="P249" s="115">
        <f t="shared" ref="P249:Q249" si="282">+P248+1</f>
        <v>13</v>
      </c>
      <c r="Q249" s="115">
        <f t="shared" si="282"/>
        <v>12.5</v>
      </c>
      <c r="R249" s="115">
        <v>1.0</v>
      </c>
      <c r="S249" s="95">
        <f t="shared" si="237"/>
        <v>6</v>
      </c>
      <c r="T249" s="95">
        <f t="shared" si="238"/>
        <v>0</v>
      </c>
      <c r="U249" s="95">
        <f t="shared" si="239"/>
        <v>36</v>
      </c>
      <c r="V249" s="95">
        <f t="shared" si="240"/>
        <v>0</v>
      </c>
      <c r="W249" s="91">
        <f t="shared" si="241"/>
        <v>36</v>
      </c>
      <c r="X249" s="91">
        <f t="shared" si="242"/>
        <v>10.81108946</v>
      </c>
      <c r="Y249" s="101">
        <f t="shared" si="243"/>
        <v>389.1992206</v>
      </c>
      <c r="Z249" s="275">
        <f t="shared" si="244"/>
        <v>4864.990257</v>
      </c>
      <c r="AA249" s="272"/>
      <c r="AB249" s="276">
        <f t="shared" si="245"/>
        <v>9469.600754</v>
      </c>
      <c r="AC249" s="101">
        <f t="shared" si="249"/>
        <v>-41577.1569</v>
      </c>
      <c r="AD249" s="101">
        <f>IF(ABS(AC249)&lt;Y249,SUM(Y$237:Y248)-AC249-SUM(Y249:Y351),0)</f>
        <v>0</v>
      </c>
      <c r="AF249" s="115">
        <f t="shared" si="256"/>
        <v>11</v>
      </c>
      <c r="AG249" s="131">
        <f t="shared" si="250"/>
        <v>0.1527777778</v>
      </c>
      <c r="AH249" s="90">
        <f t="shared" si="257"/>
        <v>-20846.90903</v>
      </c>
      <c r="AI249" s="90">
        <f t="shared" si="258"/>
        <v>774443.3325</v>
      </c>
      <c r="AJ249" s="90">
        <f t="shared" ref="AJ249:AK249" si="283">-AH249</f>
        <v>20846.90903</v>
      </c>
      <c r="AK249" s="90">
        <f t="shared" si="283"/>
        <v>-774443.3325</v>
      </c>
      <c r="AL249" s="101">
        <f t="shared" si="252"/>
        <v>-37.14907238</v>
      </c>
    </row>
    <row r="250" ht="12.75" hidden="1" customHeight="1">
      <c r="A250" s="284" t="s">
        <v>884</v>
      </c>
      <c r="B250" s="285"/>
      <c r="C250" s="285"/>
      <c r="D250" s="285"/>
      <c r="E250" s="285"/>
      <c r="G250" s="79"/>
      <c r="H250" s="212" t="s">
        <v>885</v>
      </c>
      <c r="I250" s="282">
        <v>0.68</v>
      </c>
      <c r="J250" s="3"/>
      <c r="K250" s="88">
        <f t="shared" si="272"/>
        <v>0.85</v>
      </c>
      <c r="L250" s="282">
        <v>2.1</v>
      </c>
      <c r="M250" s="3"/>
      <c r="N250" s="119">
        <f t="shared" si="273"/>
        <v>1.68</v>
      </c>
      <c r="P250" s="115">
        <f t="shared" ref="P250:Q250" si="284">+P249+1</f>
        <v>14</v>
      </c>
      <c r="Q250" s="115">
        <f t="shared" si="284"/>
        <v>13.5</v>
      </c>
      <c r="R250" s="115">
        <v>1.0</v>
      </c>
      <c r="S250" s="95">
        <f t="shared" si="237"/>
        <v>6</v>
      </c>
      <c r="T250" s="95">
        <f t="shared" si="238"/>
        <v>0</v>
      </c>
      <c r="U250" s="95">
        <f t="shared" si="239"/>
        <v>36</v>
      </c>
      <c r="V250" s="95">
        <f t="shared" si="240"/>
        <v>0</v>
      </c>
      <c r="W250" s="91">
        <f t="shared" si="241"/>
        <v>36</v>
      </c>
      <c r="X250" s="91">
        <f t="shared" si="242"/>
        <v>11.67597662</v>
      </c>
      <c r="Y250" s="101">
        <f t="shared" si="243"/>
        <v>420.3351582</v>
      </c>
      <c r="Z250" s="275">
        <f t="shared" si="244"/>
        <v>5674.524636</v>
      </c>
      <c r="AA250" s="272"/>
      <c r="AB250" s="276">
        <f t="shared" si="245"/>
        <v>10647.50397</v>
      </c>
      <c r="AC250" s="101">
        <f t="shared" si="249"/>
        <v>-39141.63142</v>
      </c>
      <c r="AD250" s="101">
        <f>IF(ABS(AC250)&lt;Y250,SUM(Y$237:Y249)-AC250-SUM(Y250:Y351),0)</f>
        <v>0</v>
      </c>
      <c r="AF250" s="115">
        <f t="shared" si="256"/>
        <v>12</v>
      </c>
      <c r="AG250" s="131">
        <f t="shared" si="250"/>
        <v>0.1666666667</v>
      </c>
      <c r="AH250" s="90">
        <f t="shared" si="257"/>
        <v>-20068.51059</v>
      </c>
      <c r="AI250" s="90">
        <f t="shared" si="258"/>
        <v>764713.352</v>
      </c>
      <c r="AJ250" s="90">
        <f t="shared" ref="AJ250:AK250" si="285">-AH250</f>
        <v>20068.51059</v>
      </c>
      <c r="AK250" s="90">
        <f t="shared" si="285"/>
        <v>-764713.352</v>
      </c>
      <c r="AL250" s="101">
        <f t="shared" si="252"/>
        <v>-38.10513732</v>
      </c>
    </row>
    <row r="251" ht="12.75" hidden="1" customHeight="1">
      <c r="A251" s="11" t="s">
        <v>886</v>
      </c>
      <c r="B251" s="262" t="s">
        <v>887</v>
      </c>
      <c r="C251" s="11" t="s">
        <v>9</v>
      </c>
      <c r="D251" s="11" t="s">
        <v>400</v>
      </c>
      <c r="E251" s="11" t="s">
        <v>401</v>
      </c>
      <c r="G251" s="68"/>
      <c r="H251" s="212" t="s">
        <v>875</v>
      </c>
      <c r="I251" s="282">
        <v>0.68</v>
      </c>
      <c r="J251" s="3"/>
      <c r="K251" s="88">
        <f t="shared" si="272"/>
        <v>0.85</v>
      </c>
      <c r="L251" s="282">
        <v>2.1</v>
      </c>
      <c r="M251" s="3"/>
      <c r="N251" s="119">
        <f t="shared" si="273"/>
        <v>1.68</v>
      </c>
      <c r="P251" s="115">
        <f t="shared" ref="P251:Q251" si="286">+P250+1</f>
        <v>15</v>
      </c>
      <c r="Q251" s="115">
        <f t="shared" si="286"/>
        <v>14.5</v>
      </c>
      <c r="R251" s="115">
        <v>1.0</v>
      </c>
      <c r="S251" s="95">
        <f t="shared" si="237"/>
        <v>6</v>
      </c>
      <c r="T251" s="95">
        <f t="shared" si="238"/>
        <v>0</v>
      </c>
      <c r="U251" s="95">
        <f t="shared" si="239"/>
        <v>36</v>
      </c>
      <c r="V251" s="95">
        <f t="shared" si="240"/>
        <v>0</v>
      </c>
      <c r="W251" s="91">
        <f t="shared" si="241"/>
        <v>36</v>
      </c>
      <c r="X251" s="91">
        <f t="shared" si="242"/>
        <v>12.54086377</v>
      </c>
      <c r="Y251" s="101">
        <f t="shared" si="243"/>
        <v>451.4710958</v>
      </c>
      <c r="Z251" s="275">
        <f t="shared" si="244"/>
        <v>6546.33089</v>
      </c>
      <c r="AA251" s="272"/>
      <c r="AB251" s="276">
        <f t="shared" si="245"/>
        <v>11887.67907</v>
      </c>
      <c r="AC251" s="101">
        <f t="shared" si="249"/>
        <v>-36799.2651</v>
      </c>
      <c r="AD251" s="101">
        <f>IF(ABS(AC251)&lt;Y251,SUM(Y$237:Y250)-AC251-SUM(Y251:Y351),0)</f>
        <v>0</v>
      </c>
      <c r="AF251" s="115">
        <f t="shared" si="256"/>
        <v>13</v>
      </c>
      <c r="AG251" s="131">
        <f t="shared" si="250"/>
        <v>0.1805555556</v>
      </c>
      <c r="AH251" s="90">
        <f t="shared" si="257"/>
        <v>-19227.84028</v>
      </c>
      <c r="AI251" s="90">
        <f t="shared" si="258"/>
        <v>753364.3027</v>
      </c>
      <c r="AJ251" s="90">
        <f t="shared" ref="AJ251:AK251" si="287">-AH251</f>
        <v>19227.84028</v>
      </c>
      <c r="AK251" s="90">
        <f t="shared" si="287"/>
        <v>-753364.3027</v>
      </c>
      <c r="AL251" s="101">
        <f t="shared" si="252"/>
        <v>-39.18091121</v>
      </c>
    </row>
    <row r="252" ht="12.75" hidden="1" customHeight="1">
      <c r="A252" s="266" t="s">
        <v>888</v>
      </c>
      <c r="B252" s="13" t="s">
        <v>889</v>
      </c>
      <c r="C252" s="66" t="s">
        <v>890</v>
      </c>
      <c r="D252" s="67">
        <v>0.0</v>
      </c>
      <c r="E252" s="100" t="s">
        <v>891</v>
      </c>
      <c r="G252" s="286" t="s">
        <v>892</v>
      </c>
      <c r="H252" s="6"/>
      <c r="I252" s="6"/>
      <c r="J252" s="6"/>
      <c r="K252" s="6"/>
      <c r="L252" s="6"/>
      <c r="M252" s="6"/>
      <c r="N252" s="103"/>
      <c r="O252" s="287"/>
      <c r="P252" s="115">
        <f t="shared" ref="P252:Q252" si="288">+P251+1</f>
        <v>16</v>
      </c>
      <c r="Q252" s="115">
        <f t="shared" si="288"/>
        <v>15.5</v>
      </c>
      <c r="R252" s="115">
        <v>1.0</v>
      </c>
      <c r="S252" s="95">
        <f t="shared" si="237"/>
        <v>6</v>
      </c>
      <c r="T252" s="95">
        <f t="shared" si="238"/>
        <v>0</v>
      </c>
      <c r="U252" s="95">
        <f t="shared" si="239"/>
        <v>36</v>
      </c>
      <c r="V252" s="95">
        <f t="shared" si="240"/>
        <v>0</v>
      </c>
      <c r="W252" s="91">
        <f t="shared" si="241"/>
        <v>36</v>
      </c>
      <c r="X252" s="91">
        <f t="shared" si="242"/>
        <v>13.40575093</v>
      </c>
      <c r="Y252" s="101">
        <f t="shared" si="243"/>
        <v>482.6070335</v>
      </c>
      <c r="Z252" s="275">
        <f t="shared" si="244"/>
        <v>7480.409019</v>
      </c>
      <c r="AA252" s="272"/>
      <c r="AB252" s="276">
        <f t="shared" si="245"/>
        <v>13190.12603</v>
      </c>
      <c r="AC252" s="101">
        <f t="shared" si="249"/>
        <v>-34535.27542</v>
      </c>
      <c r="AD252" s="101">
        <f>IF(ABS(AC252)&lt;Y252,SUM(Y$237:Y251)-AC252-SUM(Y252:Y351),0)</f>
        <v>0</v>
      </c>
      <c r="AF252" s="115">
        <f t="shared" si="256"/>
        <v>14</v>
      </c>
      <c r="AG252" s="131">
        <f t="shared" si="250"/>
        <v>0.1944444444</v>
      </c>
      <c r="AH252" s="90">
        <f t="shared" si="257"/>
        <v>-18324.89809</v>
      </c>
      <c r="AI252" s="90">
        <f t="shared" si="258"/>
        <v>740271.641</v>
      </c>
      <c r="AJ252" s="90">
        <f t="shared" ref="AJ252:AK252" si="289">-AH252</f>
        <v>18324.89809</v>
      </c>
      <c r="AK252" s="90">
        <f t="shared" si="289"/>
        <v>-740271.641</v>
      </c>
      <c r="AL252" s="101">
        <f t="shared" si="252"/>
        <v>-40.39704</v>
      </c>
    </row>
    <row r="253" ht="12.75" hidden="1" customHeight="1">
      <c r="A253" s="79"/>
      <c r="B253" s="13" t="s">
        <v>893</v>
      </c>
      <c r="C253" s="66" t="s">
        <v>421</v>
      </c>
      <c r="D253" s="67">
        <v>0.0</v>
      </c>
      <c r="E253" s="68"/>
      <c r="G253" s="106" t="s">
        <v>894</v>
      </c>
      <c r="N253" s="107"/>
      <c r="O253" s="287"/>
      <c r="P253" s="115">
        <f t="shared" ref="P253:Q253" si="290">+P252+1</f>
        <v>17</v>
      </c>
      <c r="Q253" s="115">
        <f t="shared" si="290"/>
        <v>16.5</v>
      </c>
      <c r="R253" s="115">
        <v>1.0</v>
      </c>
      <c r="S253" s="95">
        <f t="shared" si="237"/>
        <v>6</v>
      </c>
      <c r="T253" s="95">
        <f t="shared" si="238"/>
        <v>0</v>
      </c>
      <c r="U253" s="95">
        <f t="shared" si="239"/>
        <v>36</v>
      </c>
      <c r="V253" s="95">
        <f t="shared" si="240"/>
        <v>0</v>
      </c>
      <c r="W253" s="91">
        <f t="shared" si="241"/>
        <v>36</v>
      </c>
      <c r="X253" s="91">
        <f t="shared" si="242"/>
        <v>14.27063809</v>
      </c>
      <c r="Y253" s="101">
        <f t="shared" si="243"/>
        <v>513.7429711</v>
      </c>
      <c r="Z253" s="275">
        <f t="shared" si="244"/>
        <v>8476.759024</v>
      </c>
      <c r="AA253" s="272"/>
      <c r="AB253" s="276">
        <f t="shared" si="245"/>
        <v>14554.84488</v>
      </c>
      <c r="AC253" s="101">
        <f t="shared" si="249"/>
        <v>-32336.96695</v>
      </c>
      <c r="AD253" s="101">
        <f>IF(ABS(AC253)&lt;Y253,SUM(Y$237:Y252)-AC253-SUM(Y253:Y351),0)</f>
        <v>0</v>
      </c>
      <c r="AF253" s="115">
        <f t="shared" si="256"/>
        <v>15</v>
      </c>
      <c r="AG253" s="131">
        <f t="shared" si="250"/>
        <v>0.2083333333</v>
      </c>
      <c r="AH253" s="90">
        <f t="shared" si="257"/>
        <v>-17359.68402</v>
      </c>
      <c r="AI253" s="90">
        <f t="shared" si="258"/>
        <v>725310.8229</v>
      </c>
      <c r="AJ253" s="90">
        <f t="shared" ref="AJ253:AK253" si="291">-AH253</f>
        <v>17359.68402</v>
      </c>
      <c r="AK253" s="90">
        <f t="shared" si="291"/>
        <v>-725310.8229</v>
      </c>
      <c r="AL253" s="101">
        <f t="shared" si="252"/>
        <v>-41.78133785</v>
      </c>
    </row>
    <row r="254" ht="12.75" hidden="1" customHeight="1">
      <c r="A254" s="79"/>
      <c r="B254" s="13" t="s">
        <v>895</v>
      </c>
      <c r="C254" s="66" t="s">
        <v>448</v>
      </c>
      <c r="D254" s="288">
        <f>IF(and(C20="clay",C20="silt",C20="sandy clay",C20="silty clay"),N249,N242)</f>
        <v>3.612903226</v>
      </c>
      <c r="E254" s="15" t="s">
        <v>896</v>
      </c>
      <c r="G254" s="289" t="s">
        <v>897</v>
      </c>
      <c r="H254" s="53"/>
      <c r="I254" s="53"/>
      <c r="J254" s="53"/>
      <c r="K254" s="53"/>
      <c r="L254" s="53"/>
      <c r="M254" s="53"/>
      <c r="N254" s="109"/>
      <c r="O254" s="287"/>
      <c r="P254" s="115">
        <f t="shared" ref="P254:Q254" si="292">+P253+1</f>
        <v>18</v>
      </c>
      <c r="Q254" s="115">
        <f t="shared" si="292"/>
        <v>17.5</v>
      </c>
      <c r="R254" s="115">
        <v>1.0</v>
      </c>
      <c r="S254" s="95">
        <f t="shared" si="237"/>
        <v>6</v>
      </c>
      <c r="T254" s="95">
        <f t="shared" si="238"/>
        <v>0</v>
      </c>
      <c r="U254" s="95">
        <f t="shared" si="239"/>
        <v>36</v>
      </c>
      <c r="V254" s="95">
        <f t="shared" si="240"/>
        <v>0</v>
      </c>
      <c r="W254" s="91">
        <f t="shared" si="241"/>
        <v>36</v>
      </c>
      <c r="X254" s="91">
        <f t="shared" si="242"/>
        <v>15.13552524</v>
      </c>
      <c r="Y254" s="101">
        <f t="shared" si="243"/>
        <v>544.8789088</v>
      </c>
      <c r="Z254" s="275">
        <f t="shared" si="244"/>
        <v>9535.380904</v>
      </c>
      <c r="AA254" s="272"/>
      <c r="AB254" s="276">
        <f t="shared" si="245"/>
        <v>15981.8356</v>
      </c>
      <c r="AC254" s="101">
        <f t="shared" si="249"/>
        <v>-30193.37561</v>
      </c>
      <c r="AD254" s="101">
        <f>IF(ABS(AC254)&lt;Y254,SUM(Y$237:Y253)-AC254-SUM(Y254:Y351),0)</f>
        <v>0</v>
      </c>
      <c r="AF254" s="115">
        <f t="shared" si="256"/>
        <v>16</v>
      </c>
      <c r="AG254" s="131">
        <f t="shared" si="250"/>
        <v>0.2222222222</v>
      </c>
      <c r="AH254" s="90">
        <f t="shared" si="257"/>
        <v>-16332.19808</v>
      </c>
      <c r="AI254" s="90">
        <f t="shared" si="258"/>
        <v>708357.3049</v>
      </c>
      <c r="AJ254" s="90">
        <f t="shared" ref="AJ254:AK254" si="293">-AH254</f>
        <v>16332.19808</v>
      </c>
      <c r="AK254" s="90">
        <f t="shared" si="293"/>
        <v>-708357.3049</v>
      </c>
      <c r="AL254" s="101">
        <f t="shared" si="252"/>
        <v>-43.37182917</v>
      </c>
    </row>
    <row r="255" ht="12.75" hidden="1" customHeight="1">
      <c r="A255" s="68"/>
      <c r="B255" s="13" t="s">
        <v>898</v>
      </c>
      <c r="C255" s="66" t="s">
        <v>890</v>
      </c>
      <c r="D255" s="90">
        <f>$AI$238/D254</f>
        <v>223238.5548</v>
      </c>
      <c r="E255" s="15" t="s">
        <v>899</v>
      </c>
      <c r="P255" s="115">
        <f t="shared" ref="P255:Q255" si="294">+P254+1</f>
        <v>19</v>
      </c>
      <c r="Q255" s="115">
        <f t="shared" si="294"/>
        <v>18.5</v>
      </c>
      <c r="R255" s="115">
        <v>1.0</v>
      </c>
      <c r="S255" s="95">
        <f t="shared" si="237"/>
        <v>6</v>
      </c>
      <c r="T255" s="95">
        <f t="shared" si="238"/>
        <v>0</v>
      </c>
      <c r="U255" s="95">
        <f t="shared" si="239"/>
        <v>36</v>
      </c>
      <c r="V255" s="95">
        <f t="shared" si="240"/>
        <v>0</v>
      </c>
      <c r="W255" s="91">
        <f t="shared" si="241"/>
        <v>36</v>
      </c>
      <c r="X255" s="91">
        <f t="shared" si="242"/>
        <v>16.0004124</v>
      </c>
      <c r="Y255" s="101">
        <f t="shared" si="243"/>
        <v>576.0148464</v>
      </c>
      <c r="Z255" s="275">
        <f t="shared" si="244"/>
        <v>10656.27466</v>
      </c>
      <c r="AA255" s="272"/>
      <c r="AB255" s="276">
        <f t="shared" si="245"/>
        <v>17471.09819</v>
      </c>
      <c r="AC255" s="101">
        <f t="shared" si="249"/>
        <v>-28094.98324</v>
      </c>
      <c r="AD255" s="101">
        <f>IF(ABS(AC255)&lt;Y255,SUM(Y$237:Y254)-AC255-SUM(Y255:Y351),0)</f>
        <v>0</v>
      </c>
      <c r="AF255" s="115">
        <f t="shared" si="256"/>
        <v>17</v>
      </c>
      <c r="AG255" s="131">
        <f t="shared" si="250"/>
        <v>0.2361111111</v>
      </c>
      <c r="AH255" s="90">
        <f t="shared" si="257"/>
        <v>-15242.44026</v>
      </c>
      <c r="AI255" s="90">
        <f t="shared" si="258"/>
        <v>689286.5431</v>
      </c>
      <c r="AJ255" s="90">
        <f t="shared" ref="AJ255:AK255" si="295">-AH255</f>
        <v>15242.44026</v>
      </c>
      <c r="AK255" s="90">
        <f t="shared" si="295"/>
        <v>-689286.5431</v>
      </c>
      <c r="AL255" s="101">
        <f t="shared" si="252"/>
        <v>-45.22153483</v>
      </c>
    </row>
    <row r="256" ht="12.75" hidden="1" customHeight="1">
      <c r="A256" s="266" t="s">
        <v>900</v>
      </c>
      <c r="B256" s="13" t="s">
        <v>901</v>
      </c>
      <c r="C256" s="66" t="s">
        <v>890</v>
      </c>
      <c r="D256" s="67">
        <f t="shared" ref="D256:D257" si="298">C223</f>
        <v>16800</v>
      </c>
      <c r="E256" s="97" t="s">
        <v>902</v>
      </c>
      <c r="P256" s="115">
        <f t="shared" ref="P256:Q256" si="296">+P255+1</f>
        <v>20</v>
      </c>
      <c r="Q256" s="115">
        <f t="shared" si="296"/>
        <v>19.5</v>
      </c>
      <c r="R256" s="115">
        <v>1.0</v>
      </c>
      <c r="S256" s="95">
        <f t="shared" si="237"/>
        <v>6</v>
      </c>
      <c r="T256" s="95">
        <f t="shared" si="238"/>
        <v>0</v>
      </c>
      <c r="U256" s="95">
        <f t="shared" si="239"/>
        <v>36</v>
      </c>
      <c r="V256" s="95">
        <f t="shared" si="240"/>
        <v>0</v>
      </c>
      <c r="W256" s="91">
        <f t="shared" si="241"/>
        <v>36</v>
      </c>
      <c r="X256" s="91">
        <f t="shared" si="242"/>
        <v>16.86529956</v>
      </c>
      <c r="Y256" s="101">
        <f t="shared" si="243"/>
        <v>607.1507841</v>
      </c>
      <c r="Z256" s="275">
        <f t="shared" si="244"/>
        <v>11839.44029</v>
      </c>
      <c r="AA256" s="272"/>
      <c r="AB256" s="276">
        <f t="shared" si="245"/>
        <v>19022.63266</v>
      </c>
      <c r="AC256" s="101">
        <f t="shared" si="249"/>
        <v>-26033.48686</v>
      </c>
      <c r="AD256" s="101">
        <f>IF(ABS(AC256)&lt;Y256,SUM(Y$237:Y255)-AC256-SUM(Y256:Y351),0)</f>
        <v>0</v>
      </c>
      <c r="AF256" s="115">
        <f t="shared" si="256"/>
        <v>18</v>
      </c>
      <c r="AG256" s="131">
        <f t="shared" si="250"/>
        <v>0.25</v>
      </c>
      <c r="AH256" s="90">
        <f t="shared" si="257"/>
        <v>-14090.41057</v>
      </c>
      <c r="AI256" s="90">
        <f t="shared" si="258"/>
        <v>667973.9938</v>
      </c>
      <c r="AJ256" s="90">
        <f t="shared" ref="AJ256:AK256" si="297">-AH256</f>
        <v>14090.41057</v>
      </c>
      <c r="AK256" s="90">
        <f t="shared" si="297"/>
        <v>-667973.9938</v>
      </c>
      <c r="AL256" s="101">
        <f t="shared" si="252"/>
        <v>-47.40628321</v>
      </c>
    </row>
    <row r="257" ht="12.75" hidden="1" customHeight="1">
      <c r="A257" s="79"/>
      <c r="B257" s="13" t="s">
        <v>903</v>
      </c>
      <c r="C257" s="66" t="s">
        <v>421</v>
      </c>
      <c r="D257" s="171">
        <f t="shared" si="298"/>
        <v>1420</v>
      </c>
      <c r="E257" s="68"/>
      <c r="P257" s="115">
        <f t="shared" ref="P257:Q257" si="299">+P256+1</f>
        <v>21</v>
      </c>
      <c r="Q257" s="115">
        <f t="shared" si="299"/>
        <v>20.5</v>
      </c>
      <c r="R257" s="115">
        <v>1.0</v>
      </c>
      <c r="S257" s="95">
        <f t="shared" si="237"/>
        <v>6</v>
      </c>
      <c r="T257" s="95">
        <f t="shared" si="238"/>
        <v>0</v>
      </c>
      <c r="U257" s="95">
        <f t="shared" si="239"/>
        <v>36</v>
      </c>
      <c r="V257" s="95">
        <f t="shared" si="240"/>
        <v>0</v>
      </c>
      <c r="W257" s="91">
        <f t="shared" si="241"/>
        <v>36</v>
      </c>
      <c r="X257" s="91">
        <f t="shared" si="242"/>
        <v>17.73018671</v>
      </c>
      <c r="Y257" s="101">
        <f t="shared" si="243"/>
        <v>638.2867217</v>
      </c>
      <c r="Z257" s="275">
        <f t="shared" si="244"/>
        <v>13084.8778</v>
      </c>
      <c r="AA257" s="272"/>
      <c r="AB257" s="276">
        <f t="shared" si="245"/>
        <v>20636.43901</v>
      </c>
      <c r="AC257" s="101">
        <f t="shared" si="249"/>
        <v>-24001.61073</v>
      </c>
      <c r="AD257" s="101">
        <f>IF(ABS(AC257)&lt;Y257,SUM(Y$237:Y256)-AC257-SUM(Y257:Y351),0)</f>
        <v>0</v>
      </c>
      <c r="AF257" s="115">
        <f t="shared" si="256"/>
        <v>19</v>
      </c>
      <c r="AG257" s="131">
        <f t="shared" si="250"/>
        <v>0.2638888889</v>
      </c>
      <c r="AH257" s="90">
        <f t="shared" si="257"/>
        <v>-12876.109</v>
      </c>
      <c r="AI257" s="90">
        <f t="shared" si="258"/>
        <v>644295.1132</v>
      </c>
      <c r="AJ257" s="90">
        <f t="shared" ref="AJ257:AK257" si="300">-AH257</f>
        <v>12876.109</v>
      </c>
      <c r="AK257" s="90">
        <f t="shared" si="300"/>
        <v>-644295.1132</v>
      </c>
      <c r="AL257" s="101">
        <f t="shared" si="252"/>
        <v>-50.03802883</v>
      </c>
    </row>
    <row r="258" ht="12.75" hidden="1" customHeight="1">
      <c r="A258" s="79"/>
      <c r="B258" s="13" t="s">
        <v>904</v>
      </c>
      <c r="C258" s="66" t="s">
        <v>448</v>
      </c>
      <c r="D258" s="288">
        <f>IF(and(C20="clay",C20="silt",C20="sandy clay",C20="silty clay"),K249,K242)</f>
        <v>0.3875</v>
      </c>
      <c r="E258" s="15" t="s">
        <v>896</v>
      </c>
      <c r="P258" s="115">
        <f t="shared" ref="P258:Q258" si="301">+P257+1</f>
        <v>22</v>
      </c>
      <c r="Q258" s="115">
        <f t="shared" si="301"/>
        <v>21.5</v>
      </c>
      <c r="R258" s="115">
        <v>1.0</v>
      </c>
      <c r="S258" s="95">
        <f t="shared" si="237"/>
        <v>6</v>
      </c>
      <c r="T258" s="95">
        <f t="shared" si="238"/>
        <v>0</v>
      </c>
      <c r="U258" s="95">
        <f t="shared" si="239"/>
        <v>36</v>
      </c>
      <c r="V258" s="95">
        <f t="shared" si="240"/>
        <v>0</v>
      </c>
      <c r="W258" s="91">
        <f t="shared" si="241"/>
        <v>36</v>
      </c>
      <c r="X258" s="91">
        <f t="shared" si="242"/>
        <v>18.59507387</v>
      </c>
      <c r="Y258" s="101">
        <f t="shared" si="243"/>
        <v>669.4226594</v>
      </c>
      <c r="Z258" s="275">
        <f t="shared" si="244"/>
        <v>14392.58718</v>
      </c>
      <c r="AA258" s="272"/>
      <c r="AB258" s="276">
        <f t="shared" si="245"/>
        <v>22312.51723</v>
      </c>
      <c r="AC258" s="101">
        <f t="shared" si="249"/>
        <v>-21992.95226</v>
      </c>
      <c r="AD258" s="101">
        <f>IF(ABS(AC258)&lt;Y258,SUM(Y$237:Y257)-AC258-SUM(Y258:Y351),0)</f>
        <v>0</v>
      </c>
      <c r="AF258" s="115">
        <f t="shared" si="256"/>
        <v>20</v>
      </c>
      <c r="AG258" s="131">
        <f t="shared" si="250"/>
        <v>0.2777777778</v>
      </c>
      <c r="AH258" s="90">
        <f t="shared" si="257"/>
        <v>-11599.53555</v>
      </c>
      <c r="AI258" s="90">
        <f t="shared" si="258"/>
        <v>618125.3576</v>
      </c>
      <c r="AJ258" s="90">
        <f t="shared" ref="AJ258:AK258" si="302">-AH258</f>
        <v>11599.53555</v>
      </c>
      <c r="AK258" s="90">
        <f t="shared" si="302"/>
        <v>-618125.3576</v>
      </c>
      <c r="AL258" s="101">
        <f t="shared" si="252"/>
        <v>-53.28880236</v>
      </c>
    </row>
    <row r="259" ht="12.75" hidden="1" customHeight="1">
      <c r="A259" s="68"/>
      <c r="B259" s="13" t="s">
        <v>905</v>
      </c>
      <c r="C259" s="66" t="s">
        <v>890</v>
      </c>
      <c r="D259" s="90">
        <f>$AI$238*D258</f>
        <v>312533.9768</v>
      </c>
      <c r="E259" s="15" t="s">
        <v>906</v>
      </c>
      <c r="P259" s="115">
        <f t="shared" ref="P259:Q259" si="303">+P258+1</f>
        <v>23</v>
      </c>
      <c r="Q259" s="115">
        <f t="shared" si="303"/>
        <v>22.5</v>
      </c>
      <c r="R259" s="115">
        <v>1.0</v>
      </c>
      <c r="S259" s="95">
        <f t="shared" si="237"/>
        <v>6</v>
      </c>
      <c r="T259" s="95">
        <f t="shared" si="238"/>
        <v>0</v>
      </c>
      <c r="U259" s="95">
        <f t="shared" si="239"/>
        <v>36</v>
      </c>
      <c r="V259" s="95">
        <f t="shared" si="240"/>
        <v>0</v>
      </c>
      <c r="W259" s="91">
        <f t="shared" si="241"/>
        <v>36</v>
      </c>
      <c r="X259" s="91">
        <f t="shared" si="242"/>
        <v>19.45996103</v>
      </c>
      <c r="Y259" s="101">
        <f t="shared" si="243"/>
        <v>700.558597</v>
      </c>
      <c r="Z259" s="275">
        <f t="shared" si="244"/>
        <v>15762.56843</v>
      </c>
      <c r="AA259" s="272"/>
      <c r="AB259" s="276">
        <f t="shared" si="245"/>
        <v>24050.86733</v>
      </c>
      <c r="AC259" s="101">
        <f t="shared" si="249"/>
        <v>-20001.85486</v>
      </c>
      <c r="AD259" s="101">
        <f>IF(ABS(AC259)&lt;Y259,SUM(Y$237:Y258)-AC259-SUM(Y259:Y351),0)</f>
        <v>0</v>
      </c>
      <c r="AF259" s="115">
        <f t="shared" si="256"/>
        <v>21</v>
      </c>
      <c r="AG259" s="131">
        <f t="shared" si="250"/>
        <v>0.2916666667</v>
      </c>
      <c r="AH259" s="90">
        <f t="shared" si="257"/>
        <v>-10260.69024</v>
      </c>
      <c r="AI259" s="90">
        <f t="shared" si="258"/>
        <v>589340.1832</v>
      </c>
      <c r="AJ259" s="90">
        <f t="shared" ref="AJ259:AK259" si="304">-AH259</f>
        <v>10260.69024</v>
      </c>
      <c r="AK259" s="90">
        <f t="shared" si="304"/>
        <v>-589340.1832</v>
      </c>
      <c r="AL259" s="101">
        <f t="shared" si="252"/>
        <v>-57.43669965</v>
      </c>
    </row>
    <row r="260" ht="12.75" hidden="1" customHeight="1">
      <c r="B260" s="35"/>
      <c r="P260" s="115">
        <f t="shared" ref="P260:Q260" si="305">+P259+1</f>
        <v>24</v>
      </c>
      <c r="Q260" s="115">
        <f t="shared" si="305"/>
        <v>23.5</v>
      </c>
      <c r="R260" s="115">
        <v>1.0</v>
      </c>
      <c r="S260" s="95">
        <f t="shared" si="237"/>
        <v>6</v>
      </c>
      <c r="T260" s="95">
        <f t="shared" si="238"/>
        <v>0</v>
      </c>
      <c r="U260" s="95">
        <f t="shared" si="239"/>
        <v>36</v>
      </c>
      <c r="V260" s="95">
        <f t="shared" si="240"/>
        <v>0</v>
      </c>
      <c r="W260" s="91">
        <f t="shared" si="241"/>
        <v>36</v>
      </c>
      <c r="X260" s="91">
        <f t="shared" si="242"/>
        <v>20.32484818</v>
      </c>
      <c r="Y260" s="101">
        <f t="shared" si="243"/>
        <v>731.6945346</v>
      </c>
      <c r="Z260" s="275">
        <f t="shared" si="244"/>
        <v>17194.82156</v>
      </c>
      <c r="AA260" s="272"/>
      <c r="AB260" s="276">
        <f t="shared" si="245"/>
        <v>25851.4893</v>
      </c>
      <c r="AC260" s="101">
        <f t="shared" si="249"/>
        <v>-18023.30233</v>
      </c>
      <c r="AD260" s="101">
        <f>IF(ABS(AC260)&lt;Y260,SUM(Y$237:Y259)-AC260-SUM(Y260:Y351),0)</f>
        <v>0</v>
      </c>
      <c r="AF260" s="115">
        <f t="shared" si="256"/>
        <v>22</v>
      </c>
      <c r="AG260" s="131">
        <f t="shared" si="250"/>
        <v>0.3055555556</v>
      </c>
      <c r="AH260" s="90">
        <f t="shared" si="257"/>
        <v>-8859.573041</v>
      </c>
      <c r="AI260" s="90">
        <f t="shared" si="258"/>
        <v>557815.0464</v>
      </c>
      <c r="AJ260" s="90">
        <f t="shared" ref="AJ260:AK260" si="306">-AH260</f>
        <v>8859.573041</v>
      </c>
      <c r="AK260" s="90">
        <f t="shared" si="306"/>
        <v>-557815.0464</v>
      </c>
      <c r="AL260" s="101">
        <f t="shared" si="252"/>
        <v>-62.96184294</v>
      </c>
    </row>
    <row r="261" ht="12.75" hidden="1" customHeight="1">
      <c r="A261" s="290" t="s">
        <v>907</v>
      </c>
      <c r="B261" s="291"/>
      <c r="C261" s="291"/>
      <c r="D261" s="291"/>
      <c r="E261" s="291"/>
      <c r="P261" s="115">
        <f t="shared" ref="P261:Q261" si="307">+P260+1</f>
        <v>25</v>
      </c>
      <c r="Q261" s="115">
        <f t="shared" si="307"/>
        <v>24.5</v>
      </c>
      <c r="R261" s="115">
        <v>1.0</v>
      </c>
      <c r="S261" s="95">
        <f t="shared" si="237"/>
        <v>6</v>
      </c>
      <c r="T261" s="95">
        <f t="shared" si="238"/>
        <v>0</v>
      </c>
      <c r="U261" s="95">
        <f t="shared" si="239"/>
        <v>36</v>
      </c>
      <c r="V261" s="95">
        <f t="shared" si="240"/>
        <v>0</v>
      </c>
      <c r="W261" s="91">
        <f t="shared" si="241"/>
        <v>36</v>
      </c>
      <c r="X261" s="91">
        <f t="shared" si="242"/>
        <v>17.14848599</v>
      </c>
      <c r="Y261" s="101">
        <f t="shared" si="243"/>
        <v>617.3454956</v>
      </c>
      <c r="Z261" s="275">
        <f t="shared" si="244"/>
        <v>15124.96464</v>
      </c>
      <c r="AA261" s="272"/>
      <c r="AB261" s="276">
        <f t="shared" si="245"/>
        <v>22428.77051</v>
      </c>
      <c r="AC261" s="101">
        <f t="shared" si="249"/>
        <v>-16198.31574</v>
      </c>
      <c r="AD261" s="101">
        <f>IF(ABS(AC261)&lt;Y261,SUM(Y$237:Y260)-AC261-SUM(Y261:Y351),0)</f>
        <v>0</v>
      </c>
      <c r="AF261" s="115">
        <f t="shared" si="256"/>
        <v>23</v>
      </c>
      <c r="AG261" s="131">
        <f t="shared" si="250"/>
        <v>0.3194444444</v>
      </c>
      <c r="AH261" s="90">
        <f t="shared" si="257"/>
        <v>-7396.183972</v>
      </c>
      <c r="AI261" s="90">
        <f t="shared" si="258"/>
        <v>523425.4032</v>
      </c>
      <c r="AJ261" s="90">
        <f t="shared" ref="AJ261:AK261" si="308">-AH261</f>
        <v>7396.183972</v>
      </c>
      <c r="AK261" s="90">
        <f t="shared" si="308"/>
        <v>-523425.4032</v>
      </c>
      <c r="AL261" s="101">
        <f t="shared" si="252"/>
        <v>-70.76965706</v>
      </c>
    </row>
    <row r="262" ht="12.75" hidden="1" customHeight="1">
      <c r="A262" s="11" t="s">
        <v>397</v>
      </c>
      <c r="B262" s="262" t="s">
        <v>399</v>
      </c>
      <c r="C262" s="11" t="s">
        <v>9</v>
      </c>
      <c r="D262" s="11" t="s">
        <v>400</v>
      </c>
      <c r="E262" s="11" t="s">
        <v>401</v>
      </c>
      <c r="P262" s="115">
        <f t="shared" ref="P262:Q262" si="309">+P261+1</f>
        <v>26</v>
      </c>
      <c r="Q262" s="115">
        <f t="shared" si="309"/>
        <v>25.5</v>
      </c>
      <c r="R262" s="115">
        <v>1.0</v>
      </c>
      <c r="S262" s="95">
        <f t="shared" si="237"/>
        <v>6</v>
      </c>
      <c r="T262" s="95">
        <f t="shared" si="238"/>
        <v>0</v>
      </c>
      <c r="U262" s="95">
        <f t="shared" si="239"/>
        <v>36</v>
      </c>
      <c r="V262" s="95">
        <f t="shared" si="240"/>
        <v>0</v>
      </c>
      <c r="W262" s="91">
        <f t="shared" si="241"/>
        <v>36</v>
      </c>
      <c r="X262" s="91">
        <f t="shared" si="242"/>
        <v>17.69536254</v>
      </c>
      <c r="Y262" s="101">
        <f t="shared" si="243"/>
        <v>637.0330513</v>
      </c>
      <c r="Z262" s="275">
        <f t="shared" si="244"/>
        <v>16244.34281</v>
      </c>
      <c r="AA262" s="272"/>
      <c r="AB262" s="276">
        <f t="shared" si="245"/>
        <v>23781.07187</v>
      </c>
      <c r="AC262" s="101">
        <f t="shared" si="249"/>
        <v>-14526.56354</v>
      </c>
      <c r="AD262" s="101">
        <f>IF(ABS(AC262)&lt;Y262,SUM(Y$237:Y261)-AC262-SUM(Y262:Y351),0)</f>
        <v>0</v>
      </c>
      <c r="AF262" s="115">
        <f t="shared" si="256"/>
        <v>24</v>
      </c>
      <c r="AG262" s="131">
        <f t="shared" si="250"/>
        <v>0.3333333333</v>
      </c>
      <c r="AH262" s="90">
        <f t="shared" si="257"/>
        <v>-6161.492981</v>
      </c>
      <c r="AI262" s="90">
        <f t="shared" si="258"/>
        <v>493175.474</v>
      </c>
      <c r="AJ262" s="90">
        <f t="shared" ref="AJ262:AK262" si="310">-AH262</f>
        <v>6161.492981</v>
      </c>
      <c r="AK262" s="90">
        <f t="shared" si="310"/>
        <v>-493175.474</v>
      </c>
      <c r="AL262" s="101">
        <f t="shared" si="252"/>
        <v>-80.04155413</v>
      </c>
    </row>
    <row r="263" ht="12.75" hidden="1" customHeight="1">
      <c r="A263" s="115" t="s">
        <v>908</v>
      </c>
      <c r="B263" s="94" t="s">
        <v>909</v>
      </c>
      <c r="C263" s="66" t="s">
        <v>890</v>
      </c>
      <c r="D263" s="220">
        <f>IF(AND(D257&lt;0.01,D256&lt;0.01),($D$252*$D$254),($D$256/$D$258))</f>
        <v>43354.83871</v>
      </c>
      <c r="E263" s="292"/>
      <c r="P263" s="115">
        <f t="shared" ref="P263:Q263" si="311">+P262+1</f>
        <v>27</v>
      </c>
      <c r="Q263" s="115">
        <f t="shared" si="311"/>
        <v>26.5</v>
      </c>
      <c r="R263" s="115">
        <v>1.0</v>
      </c>
      <c r="S263" s="95">
        <f t="shared" si="237"/>
        <v>6</v>
      </c>
      <c r="T263" s="95">
        <f t="shared" si="238"/>
        <v>0</v>
      </c>
      <c r="U263" s="95">
        <f t="shared" si="239"/>
        <v>36</v>
      </c>
      <c r="V263" s="95">
        <f t="shared" si="240"/>
        <v>0</v>
      </c>
      <c r="W263" s="91">
        <f t="shared" si="241"/>
        <v>36</v>
      </c>
      <c r="X263" s="91">
        <f t="shared" si="242"/>
        <v>18.24223908</v>
      </c>
      <c r="Y263" s="101">
        <f t="shared" si="243"/>
        <v>656.720607</v>
      </c>
      <c r="Z263" s="275">
        <f t="shared" si="244"/>
        <v>17403.09608</v>
      </c>
      <c r="AA263" s="272"/>
      <c r="AB263" s="276">
        <f t="shared" si="245"/>
        <v>25172.74834</v>
      </c>
      <c r="AC263" s="101">
        <f t="shared" si="249"/>
        <v>-12870.45211</v>
      </c>
      <c r="AD263" s="101">
        <f>IF(ABS(AC263)&lt;Y263,SUM(Y$237:Y262)-AC263-SUM(Y263:Y351),0)</f>
        <v>0</v>
      </c>
      <c r="AF263" s="115">
        <f t="shared" si="256"/>
        <v>25</v>
      </c>
      <c r="AG263" s="131">
        <f t="shared" si="250"/>
        <v>0.3472222222</v>
      </c>
      <c r="AH263" s="90">
        <f t="shared" si="257"/>
        <v>-4887.426878</v>
      </c>
      <c r="AI263" s="90">
        <f t="shared" si="258"/>
        <v>460686.7883</v>
      </c>
      <c r="AJ263" s="90">
        <f t="shared" ref="AJ263:AK263" si="312">-AH263</f>
        <v>4887.426878</v>
      </c>
      <c r="AK263" s="90">
        <f t="shared" si="312"/>
        <v>-460686.7883</v>
      </c>
      <c r="AL263" s="101">
        <f t="shared" si="252"/>
        <v>-94.25957663</v>
      </c>
    </row>
    <row r="264" ht="12.75" hidden="1" customHeight="1">
      <c r="A264" s="115" t="s">
        <v>910</v>
      </c>
      <c r="B264" s="94" t="s">
        <v>911</v>
      </c>
      <c r="C264" s="66" t="s">
        <v>421</v>
      </c>
      <c r="D264" s="220">
        <f>IF(AND(D256&lt;0.01,D257&lt;0.01),($D$253*$D$254),($D$257/$D$258))</f>
        <v>3664.516129</v>
      </c>
      <c r="E264" s="292"/>
      <c r="H264" s="31"/>
      <c r="I264" s="31"/>
      <c r="J264" s="31"/>
      <c r="K264" s="31"/>
      <c r="P264" s="115">
        <f t="shared" ref="P264:Q264" si="313">+P263+1</f>
        <v>28</v>
      </c>
      <c r="Q264" s="115">
        <f t="shared" si="313"/>
        <v>27.5</v>
      </c>
      <c r="R264" s="115">
        <v>1.0</v>
      </c>
      <c r="S264" s="95">
        <f t="shared" si="237"/>
        <v>6</v>
      </c>
      <c r="T264" s="95">
        <f t="shared" si="238"/>
        <v>0</v>
      </c>
      <c r="U264" s="95">
        <f t="shared" si="239"/>
        <v>36</v>
      </c>
      <c r="V264" s="95">
        <f t="shared" si="240"/>
        <v>0</v>
      </c>
      <c r="W264" s="91">
        <f t="shared" si="241"/>
        <v>36</v>
      </c>
      <c r="X264" s="91">
        <f t="shared" si="242"/>
        <v>18.78911563</v>
      </c>
      <c r="Y264" s="101">
        <f t="shared" si="243"/>
        <v>676.4081626</v>
      </c>
      <c r="Z264" s="275">
        <f t="shared" si="244"/>
        <v>18601.22447</v>
      </c>
      <c r="AA264" s="272"/>
      <c r="AB264" s="276">
        <f t="shared" si="245"/>
        <v>26603.79992</v>
      </c>
      <c r="AC264" s="101">
        <f t="shared" si="249"/>
        <v>-11226.78621</v>
      </c>
      <c r="AD264" s="101">
        <f>IF(ABS(AC264)&lt;Y264,SUM(Y$237:Y263)-AC264-SUM(Y264:Y351),0)</f>
        <v>0</v>
      </c>
      <c r="AF264" s="115">
        <f t="shared" si="256"/>
        <v>26</v>
      </c>
      <c r="AG264" s="131">
        <f t="shared" si="250"/>
        <v>0.3611111111</v>
      </c>
      <c r="AH264" s="90">
        <f t="shared" si="257"/>
        <v>-3573.985664</v>
      </c>
      <c r="AI264" s="90">
        <f t="shared" si="258"/>
        <v>425880.5962</v>
      </c>
      <c r="AJ264" s="90">
        <f t="shared" ref="AJ264:AK264" si="314">-AH264</f>
        <v>3573.985664</v>
      </c>
      <c r="AK264" s="90">
        <f t="shared" si="314"/>
        <v>-425880.5962</v>
      </c>
      <c r="AL264" s="101">
        <f t="shared" si="252"/>
        <v>-119.1612491</v>
      </c>
    </row>
    <row r="265" ht="12.75" hidden="1" customHeight="1">
      <c r="A265" s="115" t="s">
        <v>912</v>
      </c>
      <c r="B265" s="15" t="s">
        <v>913</v>
      </c>
      <c r="C265" s="66" t="s">
        <v>408</v>
      </c>
      <c r="D265" s="91">
        <f>IF(D264=0,1000000*D263/ABS(D263),D263/D264)</f>
        <v>11.83098592</v>
      </c>
      <c r="E265" s="115"/>
      <c r="H265" s="31"/>
      <c r="I265" s="293"/>
      <c r="J265" s="293"/>
      <c r="K265" s="31"/>
      <c r="P265" s="115">
        <f t="shared" ref="P265:Q265" si="315">+P264+1</f>
        <v>29</v>
      </c>
      <c r="Q265" s="115">
        <f t="shared" si="315"/>
        <v>28.5</v>
      </c>
      <c r="R265" s="115">
        <v>1.0</v>
      </c>
      <c r="S265" s="95">
        <f t="shared" si="237"/>
        <v>6</v>
      </c>
      <c r="T265" s="95">
        <f t="shared" si="238"/>
        <v>0</v>
      </c>
      <c r="U265" s="95">
        <f t="shared" si="239"/>
        <v>36</v>
      </c>
      <c r="V265" s="95">
        <f t="shared" si="240"/>
        <v>0</v>
      </c>
      <c r="W265" s="91">
        <f t="shared" si="241"/>
        <v>36</v>
      </c>
      <c r="X265" s="91">
        <f t="shared" si="242"/>
        <v>19.33599218</v>
      </c>
      <c r="Y265" s="101">
        <f t="shared" si="243"/>
        <v>696.0957183</v>
      </c>
      <c r="Z265" s="275">
        <f t="shared" si="244"/>
        <v>19838.72797</v>
      </c>
      <c r="AA265" s="272"/>
      <c r="AB265" s="276">
        <f t="shared" si="245"/>
        <v>28074.22661</v>
      </c>
      <c r="AC265" s="101">
        <f t="shared" si="249"/>
        <v>-9592.687483</v>
      </c>
      <c r="AD265" s="101">
        <f>IF(ABS(AC265)&lt;Y265,SUM(Y$237:Y264)-AC265-SUM(Y265:Y351),0)</f>
        <v>0</v>
      </c>
      <c r="AF265" s="115">
        <f t="shared" si="256"/>
        <v>27</v>
      </c>
      <c r="AG265" s="131">
        <f t="shared" si="250"/>
        <v>0.375</v>
      </c>
      <c r="AH265" s="90">
        <f t="shared" si="257"/>
        <v>-2221.169339</v>
      </c>
      <c r="AI265" s="90">
        <f t="shared" si="258"/>
        <v>388678.1472</v>
      </c>
      <c r="AJ265" s="90">
        <f t="shared" ref="AJ265:AK265" si="316">-AH265</f>
        <v>2221.169339</v>
      </c>
      <c r="AK265" s="90">
        <f t="shared" si="316"/>
        <v>-388678.1472</v>
      </c>
      <c r="AL265" s="101">
        <f t="shared" si="252"/>
        <v>-174.9880752</v>
      </c>
    </row>
    <row r="266" ht="12.75" hidden="1" customHeight="1">
      <c r="A266" s="115" t="s">
        <v>914</v>
      </c>
      <c r="B266" s="294"/>
      <c r="C266" s="66" t="s">
        <v>433</v>
      </c>
      <c r="D266" s="95" t="str">
        <f>IF(AND(D263&gt;0,D264&lt;0,D265&lt;AS238),"CW",IF(AND(D263&gt;=0,D264&gt;=0),"CW",IF(AND(D263&lt;0,D264&gt;0,D265&gt;AS238),"CW","CCW")))</f>
        <v>CW</v>
      </c>
      <c r="E266" s="292"/>
      <c r="H266" s="31"/>
      <c r="I266" s="293"/>
      <c r="J266" s="293"/>
      <c r="K266" s="31"/>
      <c r="P266" s="115">
        <f t="shared" ref="P266:Q266" si="317">+P265+1</f>
        <v>30</v>
      </c>
      <c r="Q266" s="115">
        <f t="shared" si="317"/>
        <v>29.5</v>
      </c>
      <c r="R266" s="115">
        <v>1.0</v>
      </c>
      <c r="S266" s="95">
        <f t="shared" si="237"/>
        <v>6</v>
      </c>
      <c r="T266" s="95">
        <f t="shared" si="238"/>
        <v>0</v>
      </c>
      <c r="U266" s="95">
        <f t="shared" si="239"/>
        <v>36</v>
      </c>
      <c r="V266" s="95">
        <f t="shared" si="240"/>
        <v>0</v>
      </c>
      <c r="W266" s="91">
        <f t="shared" si="241"/>
        <v>36</v>
      </c>
      <c r="X266" s="91">
        <f t="shared" si="242"/>
        <v>19.88286872</v>
      </c>
      <c r="Y266" s="101">
        <f t="shared" si="243"/>
        <v>715.783274</v>
      </c>
      <c r="Z266" s="275">
        <f t="shared" si="244"/>
        <v>21115.60658</v>
      </c>
      <c r="AA266" s="272"/>
      <c r="AB266" s="276">
        <f t="shared" si="245"/>
        <v>29584.02842</v>
      </c>
      <c r="AC266" s="101">
        <f t="shared" si="249"/>
        <v>-7965.556143</v>
      </c>
      <c r="AD266" s="101">
        <f>IF(ABS(AC266)&lt;Y266,SUM(Y$237:Y265)-AC266-SUM(Y266:Y351),0)</f>
        <v>0</v>
      </c>
      <c r="AF266" s="115">
        <f t="shared" si="256"/>
        <v>28</v>
      </c>
      <c r="AG266" s="131">
        <f t="shared" si="250"/>
        <v>0.3888888889</v>
      </c>
      <c r="AH266" s="90">
        <f t="shared" si="257"/>
        <v>-828.9779023</v>
      </c>
      <c r="AI266" s="90">
        <f t="shared" si="258"/>
        <v>349000.6913</v>
      </c>
      <c r="AJ266" s="90">
        <f t="shared" ref="AJ266:AK266" si="318">-AH266</f>
        <v>828.9779023</v>
      </c>
      <c r="AK266" s="90">
        <f t="shared" si="318"/>
        <v>-349000.6913</v>
      </c>
      <c r="AL266" s="101">
        <f t="shared" si="252"/>
        <v>-421.0011996</v>
      </c>
    </row>
    <row r="267" ht="12.75" hidden="1" customHeight="1">
      <c r="A267" s="115" t="s">
        <v>915</v>
      </c>
      <c r="B267" s="294"/>
      <c r="C267" s="66" t="s">
        <v>421</v>
      </c>
      <c r="D267" s="90">
        <f>IF(D266="CW",$AD$352,-$AD$352)</f>
        <v>6581.735397</v>
      </c>
      <c r="E267" s="292"/>
      <c r="H267" s="31"/>
      <c r="I267" s="293"/>
      <c r="J267" s="293"/>
      <c r="K267" s="31"/>
      <c r="P267" s="115">
        <f t="shared" ref="P267:Q267" si="319">+P266+1</f>
        <v>31</v>
      </c>
      <c r="Q267" s="115">
        <f t="shared" si="319"/>
        <v>30.5</v>
      </c>
      <c r="R267" s="115">
        <v>1.0</v>
      </c>
      <c r="S267" s="95">
        <f t="shared" si="237"/>
        <v>6</v>
      </c>
      <c r="T267" s="95">
        <f t="shared" si="238"/>
        <v>0</v>
      </c>
      <c r="U267" s="95">
        <f t="shared" si="239"/>
        <v>36</v>
      </c>
      <c r="V267" s="95">
        <f t="shared" si="240"/>
        <v>0</v>
      </c>
      <c r="W267" s="91">
        <f t="shared" si="241"/>
        <v>36</v>
      </c>
      <c r="X267" s="91">
        <f t="shared" si="242"/>
        <v>20.42974527</v>
      </c>
      <c r="Y267" s="101">
        <f t="shared" si="243"/>
        <v>735.4708296</v>
      </c>
      <c r="Z267" s="275">
        <f t="shared" si="244"/>
        <v>22431.8603</v>
      </c>
      <c r="AA267" s="272"/>
      <c r="AB267" s="276">
        <f t="shared" si="245"/>
        <v>31133.20533</v>
      </c>
      <c r="AC267" s="101">
        <f t="shared" si="249"/>
        <v>-6343.038065</v>
      </c>
      <c r="AD267" s="101">
        <f>IF(ABS(AC267)&lt;Y267,SUM(Y$237:Y266)-AC267-SUM(Y267:Y351),0)</f>
        <v>0</v>
      </c>
      <c r="AF267" s="115">
        <f t="shared" si="256"/>
        <v>29</v>
      </c>
      <c r="AG267" s="131">
        <f t="shared" si="250"/>
        <v>0.4027777778</v>
      </c>
      <c r="AH267" s="90">
        <f t="shared" si="257"/>
        <v>602.5886456</v>
      </c>
      <c r="AI267" s="90">
        <f t="shared" si="258"/>
        <v>306769.4781</v>
      </c>
      <c r="AJ267" s="90">
        <f t="shared" ref="AJ267:AK267" si="320">-AH267</f>
        <v>-602.5886456</v>
      </c>
      <c r="AK267" s="90">
        <f t="shared" si="320"/>
        <v>-306769.4781</v>
      </c>
      <c r="AL267" s="101">
        <f t="shared" si="252"/>
        <v>509.0860579</v>
      </c>
    </row>
    <row r="268" ht="12.75" hidden="1" customHeight="1">
      <c r="A268" s="115" t="s">
        <v>916</v>
      </c>
      <c r="B268" s="294"/>
      <c r="C268" s="66" t="s">
        <v>890</v>
      </c>
      <c r="D268" s="295">
        <f>+D267*D265</f>
        <v>77868.41878</v>
      </c>
      <c r="E268" s="296"/>
      <c r="H268" s="31"/>
      <c r="I268" s="293"/>
      <c r="J268" s="293"/>
      <c r="K268" s="31"/>
      <c r="P268" s="115">
        <f t="shared" ref="P268:Q268" si="321">+P267+1</f>
        <v>32</v>
      </c>
      <c r="Q268" s="115">
        <f t="shared" si="321"/>
        <v>31.5</v>
      </c>
      <c r="R268" s="115">
        <v>1.0</v>
      </c>
      <c r="S268" s="95">
        <f t="shared" si="237"/>
        <v>6</v>
      </c>
      <c r="T268" s="95">
        <f t="shared" si="238"/>
        <v>0</v>
      </c>
      <c r="U268" s="95">
        <f t="shared" si="239"/>
        <v>36</v>
      </c>
      <c r="V268" s="95">
        <f t="shared" si="240"/>
        <v>0</v>
      </c>
      <c r="W268" s="91">
        <f t="shared" si="241"/>
        <v>36</v>
      </c>
      <c r="X268" s="91">
        <f t="shared" si="242"/>
        <v>20.97662181</v>
      </c>
      <c r="Y268" s="101">
        <f t="shared" si="243"/>
        <v>755.1583853</v>
      </c>
      <c r="Z268" s="275">
        <f t="shared" si="244"/>
        <v>23787.48914</v>
      </c>
      <c r="AA268" s="272"/>
      <c r="AB268" s="276">
        <f t="shared" si="245"/>
        <v>32721.75736</v>
      </c>
      <c r="AC268" s="101">
        <f t="shared" si="249"/>
        <v>-4722.996442</v>
      </c>
      <c r="AD268" s="101">
        <f>IF(ABS(AC268)&lt;Y268,SUM(Y$237:Y267)-AC268-SUM(Y268:Y351),0)</f>
        <v>0</v>
      </c>
      <c r="AF268" s="115">
        <f t="shared" si="256"/>
        <v>30</v>
      </c>
      <c r="AG268" s="131">
        <f t="shared" si="250"/>
        <v>0.4166666667</v>
      </c>
      <c r="AH268" s="90">
        <f t="shared" si="257"/>
        <v>2073.530305</v>
      </c>
      <c r="AI268" s="90">
        <f t="shared" si="258"/>
        <v>261905.7575</v>
      </c>
      <c r="AJ268" s="90">
        <f t="shared" ref="AJ268:AK268" si="322">-AH268</f>
        <v>-2073.530305</v>
      </c>
      <c r="AK268" s="90">
        <f t="shared" si="322"/>
        <v>-261905.7575</v>
      </c>
      <c r="AL268" s="101">
        <f t="shared" si="252"/>
        <v>126.3091052</v>
      </c>
    </row>
    <row r="269" ht="12.75" customHeight="1">
      <c r="A269" s="104" t="s">
        <v>491</v>
      </c>
      <c r="B269" s="3"/>
      <c r="C269" s="297" t="str">
        <f>IF(D268*D268+D267*D267&gt;D264*D264+D263*D263,"Yes","No")</f>
        <v>Yes</v>
      </c>
      <c r="D269" s="298"/>
      <c r="E269" s="31"/>
      <c r="H269" s="31"/>
      <c r="I269" s="293"/>
      <c r="J269" s="293"/>
      <c r="K269" s="31"/>
      <c r="P269" s="115">
        <f t="shared" ref="P269:Q269" si="323">+P268+1</f>
        <v>33</v>
      </c>
      <c r="Q269" s="115">
        <f t="shared" si="323"/>
        <v>32.5</v>
      </c>
      <c r="R269" s="115">
        <v>1.0</v>
      </c>
      <c r="S269" s="95">
        <f t="shared" si="237"/>
        <v>6</v>
      </c>
      <c r="T269" s="95">
        <f t="shared" si="238"/>
        <v>0</v>
      </c>
      <c r="U269" s="95">
        <f t="shared" si="239"/>
        <v>36</v>
      </c>
      <c r="V269" s="95">
        <f t="shared" si="240"/>
        <v>0</v>
      </c>
      <c r="W269" s="91">
        <f t="shared" si="241"/>
        <v>36</v>
      </c>
      <c r="X269" s="91">
        <f t="shared" si="242"/>
        <v>21.52349836</v>
      </c>
      <c r="Y269" s="101">
        <f t="shared" si="243"/>
        <v>774.845941</v>
      </c>
      <c r="Z269" s="275">
        <f t="shared" si="244"/>
        <v>25182.49308</v>
      </c>
      <c r="AA269" s="272"/>
      <c r="AB269" s="276">
        <f t="shared" si="245"/>
        <v>34349.6845</v>
      </c>
      <c r="AC269" s="101">
        <f t="shared" si="249"/>
        <v>-3103.48727</v>
      </c>
      <c r="AD269" s="101">
        <f>IF(ABS(AC269)&lt;Y269,SUM(Y$237:Y268)-AC269-SUM(Y269:Y351),0)</f>
        <v>0</v>
      </c>
      <c r="AF269" s="115">
        <f t="shared" si="256"/>
        <v>31</v>
      </c>
      <c r="AG269" s="131">
        <f t="shared" si="250"/>
        <v>0.4305555556</v>
      </c>
      <c r="AH269" s="90">
        <f t="shared" si="257"/>
        <v>3583.847076</v>
      </c>
      <c r="AI269" s="90">
        <f t="shared" si="258"/>
        <v>214330.7792</v>
      </c>
      <c r="AJ269" s="90">
        <f t="shared" ref="AJ269:AK269" si="324">-AH269</f>
        <v>-3583.847076</v>
      </c>
      <c r="AK269" s="90">
        <f t="shared" si="324"/>
        <v>-214330.7792</v>
      </c>
      <c r="AL269" s="101">
        <f t="shared" si="252"/>
        <v>59.80466653</v>
      </c>
    </row>
    <row r="270" ht="12.75" customHeight="1">
      <c r="H270" s="31"/>
      <c r="I270" s="293"/>
      <c r="J270" s="293"/>
      <c r="K270" s="31"/>
      <c r="P270" s="115">
        <f t="shared" ref="P270:Q270" si="325">+P269+1</f>
        <v>34</v>
      </c>
      <c r="Q270" s="115">
        <f t="shared" si="325"/>
        <v>33.5</v>
      </c>
      <c r="R270" s="115">
        <v>1.0</v>
      </c>
      <c r="S270" s="95">
        <f t="shared" si="237"/>
        <v>6</v>
      </c>
      <c r="T270" s="95">
        <f t="shared" si="238"/>
        <v>0</v>
      </c>
      <c r="U270" s="95">
        <f t="shared" si="239"/>
        <v>36</v>
      </c>
      <c r="V270" s="95">
        <f t="shared" si="240"/>
        <v>0</v>
      </c>
      <c r="W270" s="91">
        <f t="shared" si="241"/>
        <v>36</v>
      </c>
      <c r="X270" s="91">
        <f t="shared" si="242"/>
        <v>22.07037491</v>
      </c>
      <c r="Y270" s="101">
        <f t="shared" si="243"/>
        <v>794.5334966</v>
      </c>
      <c r="Z270" s="275">
        <f t="shared" si="244"/>
        <v>26616.87214</v>
      </c>
      <c r="AA270" s="272"/>
      <c r="AB270" s="276">
        <f t="shared" si="245"/>
        <v>36016.98675</v>
      </c>
      <c r="AC270" s="101">
        <f t="shared" si="249"/>
        <v>-1482.738084</v>
      </c>
      <c r="AD270" s="101">
        <f>IF(ABS(AC270)&lt;Y270,SUM(Y$237:Y269)-AC270-SUM(Y270:Y351),0)</f>
        <v>0</v>
      </c>
      <c r="AF270" s="115">
        <f t="shared" si="256"/>
        <v>32</v>
      </c>
      <c r="AG270" s="131">
        <f t="shared" si="250"/>
        <v>0.4444444444</v>
      </c>
      <c r="AH270" s="90">
        <f t="shared" si="257"/>
        <v>5133.538957</v>
      </c>
      <c r="AI270" s="90">
        <f t="shared" si="258"/>
        <v>163965.7931</v>
      </c>
      <c r="AJ270" s="90">
        <f t="shared" ref="AJ270:AK270" si="326">-AH270</f>
        <v>-5133.538957</v>
      </c>
      <c r="AK270" s="90">
        <f t="shared" si="326"/>
        <v>-163965.7931</v>
      </c>
      <c r="AL270" s="101">
        <f t="shared" si="252"/>
        <v>31.94010885</v>
      </c>
    </row>
    <row r="271" ht="18.75" customHeight="1">
      <c r="A271" s="299" t="s">
        <v>917</v>
      </c>
      <c r="D271" s="300"/>
      <c r="E271" s="300"/>
      <c r="H271" s="31"/>
      <c r="I271" s="293"/>
      <c r="J271" s="293"/>
      <c r="K271" s="31"/>
      <c r="P271" s="115"/>
      <c r="Q271" s="115"/>
      <c r="R271" s="115"/>
      <c r="S271" s="95"/>
      <c r="T271" s="95"/>
      <c r="U271" s="95"/>
      <c r="V271" s="95"/>
      <c r="W271" s="91"/>
      <c r="X271" s="91"/>
      <c r="Y271" s="101"/>
      <c r="Z271" s="275"/>
      <c r="AA271" s="272"/>
      <c r="AB271" s="276"/>
      <c r="AC271" s="101"/>
      <c r="AD271" s="101"/>
      <c r="AF271" s="115"/>
      <c r="AG271" s="131"/>
      <c r="AH271" s="90"/>
      <c r="AI271" s="90"/>
      <c r="AJ271" s="90"/>
      <c r="AK271" s="90"/>
      <c r="AL271" s="101"/>
    </row>
    <row r="272">
      <c r="A272" s="301" t="s">
        <v>918</v>
      </c>
      <c r="B272" s="3"/>
      <c r="C272" s="204">
        <v>36.0</v>
      </c>
      <c r="H272" s="31"/>
      <c r="I272" s="293"/>
      <c r="J272" s="293"/>
      <c r="K272" s="31"/>
      <c r="P272" s="115"/>
      <c r="Q272" s="115"/>
      <c r="R272" s="115"/>
      <c r="S272" s="95"/>
      <c r="T272" s="95"/>
      <c r="U272" s="95"/>
      <c r="V272" s="95"/>
      <c r="W272" s="91"/>
      <c r="X272" s="91"/>
      <c r="Y272" s="101"/>
      <c r="Z272" s="275"/>
      <c r="AA272" s="272"/>
      <c r="AB272" s="276"/>
      <c r="AC272" s="101"/>
      <c r="AD272" s="101"/>
      <c r="AF272" s="115"/>
      <c r="AG272" s="131"/>
      <c r="AH272" s="90"/>
      <c r="AI272" s="90"/>
      <c r="AJ272" s="90"/>
      <c r="AK272" s="90"/>
      <c r="AL272" s="101"/>
    </row>
    <row r="273">
      <c r="A273" s="301" t="s">
        <v>919</v>
      </c>
      <c r="B273" s="3"/>
      <c r="C273" s="204">
        <v>6.0</v>
      </c>
      <c r="H273" s="31"/>
      <c r="I273" s="293"/>
      <c r="J273" s="293"/>
      <c r="K273" s="31"/>
      <c r="P273" s="115"/>
      <c r="Q273" s="115"/>
      <c r="R273" s="115"/>
      <c r="S273" s="95"/>
      <c r="T273" s="95"/>
      <c r="U273" s="95"/>
      <c r="V273" s="95"/>
      <c r="W273" s="91"/>
      <c r="X273" s="91"/>
      <c r="Y273" s="101"/>
      <c r="Z273" s="275"/>
      <c r="AA273" s="272"/>
      <c r="AB273" s="276"/>
      <c r="AC273" s="101"/>
      <c r="AD273" s="101"/>
      <c r="AF273" s="115"/>
      <c r="AG273" s="131"/>
      <c r="AH273" s="90"/>
      <c r="AI273" s="90"/>
      <c r="AJ273" s="90"/>
      <c r="AK273" s="90"/>
      <c r="AL273" s="101"/>
    </row>
    <row r="274" ht="12.75" customHeight="1">
      <c r="A274" s="234" t="s">
        <v>920</v>
      </c>
      <c r="B274" s="234"/>
      <c r="C274" s="302">
        <v>16.0</v>
      </c>
      <c r="D274" s="303" t="s">
        <v>712</v>
      </c>
      <c r="H274" s="31"/>
      <c r="I274" s="293"/>
      <c r="J274" s="293"/>
      <c r="K274" s="31"/>
      <c r="P274" s="115"/>
      <c r="Q274" s="115"/>
      <c r="R274" s="115"/>
      <c r="S274" s="95"/>
      <c r="T274" s="95"/>
      <c r="U274" s="95"/>
      <c r="V274" s="95"/>
      <c r="W274" s="91"/>
      <c r="X274" s="91"/>
      <c r="Y274" s="101"/>
      <c r="Z274" s="275"/>
      <c r="AA274" s="272"/>
      <c r="AB274" s="276"/>
      <c r="AC274" s="101"/>
      <c r="AD274" s="101"/>
      <c r="AF274" s="115"/>
      <c r="AG274" s="131"/>
      <c r="AH274" s="90"/>
      <c r="AI274" s="90"/>
      <c r="AJ274" s="90"/>
      <c r="AK274" s="90"/>
      <c r="AL274" s="101"/>
    </row>
    <row r="275" ht="12.75" customHeight="1">
      <c r="A275" s="234" t="s">
        <v>921</v>
      </c>
      <c r="B275" s="234"/>
      <c r="C275" s="304">
        <v>0.175</v>
      </c>
      <c r="D275" s="303"/>
      <c r="H275" s="31"/>
      <c r="I275" s="293"/>
      <c r="J275" s="293"/>
      <c r="K275" s="31"/>
      <c r="P275" s="115"/>
      <c r="Q275" s="115"/>
      <c r="R275" s="115"/>
      <c r="S275" s="95"/>
      <c r="T275" s="95"/>
      <c r="U275" s="95"/>
      <c r="V275" s="95"/>
      <c r="W275" s="91"/>
      <c r="X275" s="91"/>
      <c r="Y275" s="101"/>
      <c r="Z275" s="275"/>
      <c r="AA275" s="272"/>
      <c r="AB275" s="276"/>
      <c r="AC275" s="101"/>
      <c r="AD275" s="101"/>
      <c r="AF275" s="115"/>
      <c r="AG275" s="131"/>
      <c r="AH275" s="90"/>
      <c r="AI275" s="90"/>
      <c r="AJ275" s="90"/>
      <c r="AK275" s="90"/>
      <c r="AL275" s="101"/>
    </row>
    <row r="276" ht="12.75" customHeight="1">
      <c r="A276" s="234" t="s">
        <v>922</v>
      </c>
      <c r="B276" s="234"/>
      <c r="C276" s="302">
        <v>90.0</v>
      </c>
      <c r="D276" s="303" t="s">
        <v>923</v>
      </c>
      <c r="H276" s="31"/>
      <c r="I276" s="293"/>
      <c r="J276" s="293"/>
      <c r="K276" s="31"/>
      <c r="P276" s="115"/>
      <c r="Q276" s="115"/>
      <c r="R276" s="115"/>
      <c r="S276" s="95"/>
      <c r="T276" s="95"/>
      <c r="U276" s="95"/>
      <c r="V276" s="95"/>
      <c r="W276" s="91"/>
      <c r="X276" s="91"/>
      <c r="Y276" s="101"/>
      <c r="Z276" s="275"/>
      <c r="AA276" s="272"/>
      <c r="AB276" s="276"/>
      <c r="AC276" s="101"/>
      <c r="AD276" s="101"/>
      <c r="AF276" s="115"/>
      <c r="AG276" s="131"/>
      <c r="AH276" s="90"/>
      <c r="AI276" s="90"/>
      <c r="AJ276" s="90"/>
      <c r="AK276" s="90"/>
      <c r="AL276" s="101"/>
    </row>
    <row r="277" ht="12.75" customHeight="1">
      <c r="A277" s="153" t="s">
        <v>924</v>
      </c>
      <c r="B277" s="3"/>
      <c r="C277" s="302">
        <v>1200.0</v>
      </c>
      <c r="D277" s="303" t="s">
        <v>925</v>
      </c>
      <c r="H277" s="31"/>
      <c r="I277" s="293"/>
      <c r="J277" s="293"/>
      <c r="K277" s="31"/>
      <c r="P277" s="115"/>
      <c r="Q277" s="115"/>
      <c r="R277" s="115"/>
      <c r="S277" s="95"/>
      <c r="T277" s="95"/>
      <c r="U277" s="95"/>
      <c r="V277" s="95"/>
      <c r="W277" s="91"/>
      <c r="X277" s="91"/>
      <c r="Y277" s="101"/>
      <c r="Z277" s="275"/>
      <c r="AA277" s="272"/>
      <c r="AB277" s="276"/>
      <c r="AC277" s="101"/>
      <c r="AD277" s="101"/>
      <c r="AF277" s="115"/>
      <c r="AG277" s="131"/>
      <c r="AH277" s="90"/>
      <c r="AI277" s="90"/>
      <c r="AJ277" s="90"/>
      <c r="AK277" s="90"/>
      <c r="AL277" s="101"/>
    </row>
    <row r="278" ht="12.75" customHeight="1">
      <c r="H278" s="31"/>
      <c r="I278" s="293"/>
      <c r="J278" s="293"/>
      <c r="K278" s="31"/>
      <c r="P278" s="115">
        <f t="shared" ref="P278:Q278" si="327">+P270+1</f>
        <v>35</v>
      </c>
      <c r="Q278" s="115">
        <f t="shared" si="327"/>
        <v>34.5</v>
      </c>
      <c r="R278" s="115">
        <v>1.0</v>
      </c>
      <c r="S278" s="95">
        <f t="shared" ref="S278:S351" si="330">IF(Q278&lt;$D$236,$D$237,0)</f>
        <v>6</v>
      </c>
      <c r="T278" s="95">
        <f t="shared" ref="T278:T351" si="331">IF(AND(Q278&gt;$D$236,Q278&lt;($D$238+$D$236)),$D$239,0)</f>
        <v>0</v>
      </c>
      <c r="U278" s="95">
        <f t="shared" ref="U278:U351" si="332">IF(AND(Q278&gt;$D$242,Q278&lt;$D$243),$D$244,0)</f>
        <v>36</v>
      </c>
      <c r="V278" s="95">
        <f t="shared" ref="V278:V351" si="333">IF(AND(Q278&gt;$D$245,Q278&lt;$D$246),$D$247,0)</f>
        <v>0</v>
      </c>
      <c r="W278" s="91">
        <f t="shared" ref="W278:W351" si="334">MAX(S278:V278)</f>
        <v>36</v>
      </c>
      <c r="X278" s="91">
        <f t="shared" ref="X278:X351" si="335">N81</f>
        <v>22.61725145</v>
      </c>
      <c r="Y278" s="101">
        <f t="shared" ref="Y278:Y351" si="336">+X278*R278*W278</f>
        <v>814.2210523</v>
      </c>
      <c r="Z278" s="275">
        <f t="shared" ref="Z278:Z351" si="337">+Y278*Q278</f>
        <v>28090.6263</v>
      </c>
      <c r="AA278" s="272"/>
      <c r="AB278" s="276">
        <f t="shared" ref="AB278:AB351" si="338">+Y278*(Q278+$D$265)</f>
        <v>37723.66411</v>
      </c>
      <c r="AC278" s="101">
        <f t="shared" ref="AC278:AC351" si="339">IF(Q278=-$D$265,+(SUM(AB$237:AB277)-SUM(AB279:AB$351))/(Q278+$D$265+0.0001),+(SUM(AB$237:AB277)-SUM(AB279:AB$351))/(Q278+$D$265))</f>
        <v>140.8705536</v>
      </c>
      <c r="AD278" s="101">
        <f>IF(ABS(AC278)&lt;Y278,SUM(Y$237:Y270)-AC278-SUM(Y278:Y351),0)</f>
        <v>6581.735397</v>
      </c>
      <c r="AF278" s="115">
        <f>+AF270+1</f>
        <v>33</v>
      </c>
      <c r="AG278" s="131">
        <f t="shared" ref="AG278:AG352" si="340">+AF278/$D$240</f>
        <v>0.4583333333</v>
      </c>
      <c r="AH278" s="90">
        <f>SUM(Y$237:Y270)-SUM(Y278:Y$351)</f>
        <v>6722.605951</v>
      </c>
      <c r="AI278" s="90">
        <f>-SUM(Z$237:Z270)+SUM(Z278:Z$351)</f>
        <v>110732.0488</v>
      </c>
      <c r="AJ278" s="90">
        <f t="shared" ref="AJ278:AK278" si="328">-AH278</f>
        <v>-6722.605951</v>
      </c>
      <c r="AK278" s="90">
        <f t="shared" si="328"/>
        <v>-110732.0488</v>
      </c>
      <c r="AL278" s="101">
        <f t="shared" ref="AL278:AL352" si="342">+AK278/AJ278</f>
        <v>16.47159593</v>
      </c>
    </row>
    <row r="279" ht="18.0" hidden="1" customHeight="1">
      <c r="A279" s="46" t="s">
        <v>926</v>
      </c>
      <c r="B279" s="8"/>
      <c r="C279" s="8"/>
      <c r="D279" s="8"/>
      <c r="E279" s="8"/>
      <c r="F279" s="9"/>
      <c r="H279" s="31"/>
      <c r="I279" s="293"/>
      <c r="J279" s="293"/>
      <c r="K279" s="31"/>
      <c r="P279" s="115">
        <f t="shared" ref="P279:Q279" si="329">+P278+1</f>
        <v>36</v>
      </c>
      <c r="Q279" s="115">
        <f t="shared" si="329"/>
        <v>35.5</v>
      </c>
      <c r="R279" s="115">
        <v>1.0</v>
      </c>
      <c r="S279" s="95">
        <f t="shared" si="330"/>
        <v>6</v>
      </c>
      <c r="T279" s="95">
        <f t="shared" si="331"/>
        <v>0</v>
      </c>
      <c r="U279" s="95">
        <f t="shared" si="332"/>
        <v>36</v>
      </c>
      <c r="V279" s="95">
        <f t="shared" si="333"/>
        <v>0</v>
      </c>
      <c r="W279" s="91">
        <f t="shared" si="334"/>
        <v>36</v>
      </c>
      <c r="X279" s="91">
        <f t="shared" si="335"/>
        <v>23.164128</v>
      </c>
      <c r="Y279" s="101">
        <f t="shared" si="336"/>
        <v>833.908608</v>
      </c>
      <c r="Z279" s="275">
        <f t="shared" si="337"/>
        <v>29603.75558</v>
      </c>
      <c r="AA279" s="272"/>
      <c r="AB279" s="276">
        <f t="shared" si="338"/>
        <v>39469.71658</v>
      </c>
      <c r="AC279" s="101">
        <f t="shared" si="339"/>
        <v>1768.821221</v>
      </c>
      <c r="AD279" s="101">
        <f>IF(ABS(AC279)&lt;Y279,SUM(Y$237:Y278)-AC279-SUM(Y279:Y351),0)</f>
        <v>0</v>
      </c>
      <c r="AF279" s="115">
        <f t="shared" ref="AF279:AF352" si="344">+AF278+1</f>
        <v>34</v>
      </c>
      <c r="AG279" s="131">
        <f t="shared" si="340"/>
        <v>0.4722222222</v>
      </c>
      <c r="AH279" s="90">
        <f t="shared" ref="AH279:AH352" si="345">SUM(Y$237:Y278)-SUM(Y279:Y$351)</f>
        <v>8351.048055</v>
      </c>
      <c r="AI279" s="90">
        <f t="shared" ref="AI279:AI352" si="346">-SUM(Z$237:Z278)+SUM(Z279:Z$351)</f>
        <v>54550.79618</v>
      </c>
      <c r="AJ279" s="90">
        <f t="shared" ref="AJ279:AK279" si="341">-AH279</f>
        <v>-8351.048055</v>
      </c>
      <c r="AK279" s="90">
        <f t="shared" si="341"/>
        <v>-54550.79618</v>
      </c>
      <c r="AL279" s="101">
        <f t="shared" si="342"/>
        <v>6.532209589</v>
      </c>
    </row>
    <row r="280" ht="12.75" hidden="1" customHeight="1">
      <c r="A280" s="52" t="s">
        <v>927</v>
      </c>
      <c r="B280" s="53"/>
      <c r="C280" s="53"/>
      <c r="D280" s="53"/>
      <c r="E280" s="53"/>
      <c r="F280" s="53"/>
      <c r="H280" s="31"/>
      <c r="I280" s="293"/>
      <c r="J280" s="293"/>
      <c r="K280" s="31"/>
      <c r="P280" s="115">
        <f t="shared" ref="P280:Q280" si="343">+P279+1</f>
        <v>37</v>
      </c>
      <c r="Q280" s="115">
        <f t="shared" si="343"/>
        <v>36.5</v>
      </c>
      <c r="R280" s="115">
        <v>1.0</v>
      </c>
      <c r="S280" s="95">
        <f t="shared" si="330"/>
        <v>6</v>
      </c>
      <c r="T280" s="95">
        <f t="shared" si="331"/>
        <v>0</v>
      </c>
      <c r="U280" s="95">
        <f t="shared" si="332"/>
        <v>0</v>
      </c>
      <c r="V280" s="95">
        <f t="shared" si="333"/>
        <v>0</v>
      </c>
      <c r="W280" s="91">
        <f t="shared" si="334"/>
        <v>6</v>
      </c>
      <c r="X280" s="91">
        <f t="shared" si="335"/>
        <v>23.71100455</v>
      </c>
      <c r="Y280" s="101">
        <f t="shared" si="336"/>
        <v>142.2660273</v>
      </c>
      <c r="Z280" s="275">
        <f t="shared" si="337"/>
        <v>5192.709996</v>
      </c>
      <c r="AA280" s="272"/>
      <c r="AB280" s="276">
        <f t="shared" si="338"/>
        <v>6875.857361</v>
      </c>
      <c r="AC280" s="101">
        <f t="shared" si="339"/>
        <v>2691.143659</v>
      </c>
      <c r="AD280" s="101">
        <f>IF(ABS(AC280)&lt;Y280,SUM(Y$237:Y279)-AC280-SUM(Y280:Y351),0)</f>
        <v>0</v>
      </c>
      <c r="AF280" s="115">
        <f t="shared" si="344"/>
        <v>35</v>
      </c>
      <c r="AG280" s="131">
        <f t="shared" si="340"/>
        <v>0.4861111111</v>
      </c>
      <c r="AH280" s="90">
        <f t="shared" si="345"/>
        <v>10018.86527</v>
      </c>
      <c r="AI280" s="90">
        <f t="shared" si="346"/>
        <v>-4656.714985</v>
      </c>
      <c r="AJ280" s="90">
        <f t="shared" ref="AJ280:AK280" si="347">-AH280</f>
        <v>-10018.86527</v>
      </c>
      <c r="AK280" s="90">
        <f t="shared" si="347"/>
        <v>4656.714985</v>
      </c>
      <c r="AL280" s="101">
        <f t="shared" si="342"/>
        <v>-0.4647946508</v>
      </c>
    </row>
    <row r="281" ht="12.75" hidden="1" customHeight="1">
      <c r="A281" s="11" t="s">
        <v>397</v>
      </c>
      <c r="B281" s="11" t="s">
        <v>398</v>
      </c>
      <c r="C281" s="11" t="s">
        <v>399</v>
      </c>
      <c r="D281" s="11" t="s">
        <v>9</v>
      </c>
      <c r="E281" s="11" t="s">
        <v>400</v>
      </c>
      <c r="F281" s="11" t="s">
        <v>401</v>
      </c>
      <c r="H281" s="31"/>
      <c r="I281" s="293"/>
      <c r="J281" s="293"/>
      <c r="K281" s="31"/>
      <c r="P281" s="115">
        <f t="shared" ref="P281:Q281" si="348">+P280+1</f>
        <v>38</v>
      </c>
      <c r="Q281" s="115">
        <f t="shared" si="348"/>
        <v>37.5</v>
      </c>
      <c r="R281" s="115">
        <v>1.0</v>
      </c>
      <c r="S281" s="95">
        <f t="shared" si="330"/>
        <v>6</v>
      </c>
      <c r="T281" s="95">
        <f t="shared" si="331"/>
        <v>0</v>
      </c>
      <c r="U281" s="95">
        <f t="shared" si="332"/>
        <v>0</v>
      </c>
      <c r="V281" s="95">
        <f t="shared" si="333"/>
        <v>0</v>
      </c>
      <c r="W281" s="91">
        <f t="shared" si="334"/>
        <v>6</v>
      </c>
      <c r="X281" s="91">
        <f t="shared" si="335"/>
        <v>24.25788109</v>
      </c>
      <c r="Y281" s="101">
        <f t="shared" si="336"/>
        <v>145.5472866</v>
      </c>
      <c r="Z281" s="275">
        <f t="shared" si="337"/>
        <v>5458.023246</v>
      </c>
      <c r="AA281" s="272"/>
      <c r="AB281" s="276">
        <f t="shared" si="338"/>
        <v>7179.991143</v>
      </c>
      <c r="AC281" s="101">
        <f t="shared" si="339"/>
        <v>2921.520259</v>
      </c>
      <c r="AD281" s="101">
        <f>IF(ABS(AC281)&lt;Y281,SUM(Y$237:Y280)-AC281-SUM(Y281:Y351),0)</f>
        <v>0</v>
      </c>
      <c r="AF281" s="115">
        <f t="shared" si="344"/>
        <v>36</v>
      </c>
      <c r="AG281" s="131">
        <f t="shared" si="340"/>
        <v>0.5</v>
      </c>
      <c r="AH281" s="90">
        <f t="shared" si="345"/>
        <v>10303.39733</v>
      </c>
      <c r="AI281" s="90">
        <f t="shared" si="346"/>
        <v>-15042.13498</v>
      </c>
      <c r="AJ281" s="90">
        <f t="shared" ref="AJ281:AK281" si="349">-AH281</f>
        <v>-10303.39733</v>
      </c>
      <c r="AK281" s="90">
        <f t="shared" si="349"/>
        <v>15042.13498</v>
      </c>
      <c r="AL281" s="101">
        <f t="shared" si="342"/>
        <v>-1.459919918</v>
      </c>
    </row>
    <row r="282" hidden="1">
      <c r="A282" s="305" t="s">
        <v>928</v>
      </c>
      <c r="B282" s="212" t="s">
        <v>929</v>
      </c>
      <c r="C282" s="15"/>
      <c r="D282" s="66" t="s">
        <v>408</v>
      </c>
      <c r="E282" s="67">
        <f>C272</f>
        <v>36</v>
      </c>
      <c r="F282" s="15"/>
      <c r="H282" s="31"/>
      <c r="I282" s="293"/>
      <c r="J282" s="293"/>
      <c r="K282" s="31"/>
      <c r="P282" s="115">
        <f t="shared" ref="P282:Q282" si="350">+P281+1</f>
        <v>39</v>
      </c>
      <c r="Q282" s="115">
        <f t="shared" si="350"/>
        <v>38.5</v>
      </c>
      <c r="R282" s="115">
        <v>1.0</v>
      </c>
      <c r="S282" s="95">
        <f t="shared" si="330"/>
        <v>6</v>
      </c>
      <c r="T282" s="95">
        <f t="shared" si="331"/>
        <v>0</v>
      </c>
      <c r="U282" s="95">
        <f t="shared" si="332"/>
        <v>0</v>
      </c>
      <c r="V282" s="95">
        <f t="shared" si="333"/>
        <v>0</v>
      </c>
      <c r="W282" s="91">
        <f t="shared" si="334"/>
        <v>6</v>
      </c>
      <c r="X282" s="91">
        <f t="shared" si="335"/>
        <v>24.80475764</v>
      </c>
      <c r="Y282" s="101">
        <f t="shared" si="336"/>
        <v>148.8285458</v>
      </c>
      <c r="Z282" s="275">
        <f t="shared" si="337"/>
        <v>5729.899015</v>
      </c>
      <c r="AA282" s="272"/>
      <c r="AB282" s="276">
        <f t="shared" si="338"/>
        <v>7490.687444</v>
      </c>
      <c r="AC282" s="101">
        <f t="shared" si="339"/>
        <v>3154.958133</v>
      </c>
      <c r="AD282" s="101">
        <f>IF(ABS(AC282)&lt;Y282,SUM(Y$237:Y281)-AC282-SUM(Y282:Y351),0)</f>
        <v>0</v>
      </c>
      <c r="AF282" s="115">
        <f t="shared" si="344"/>
        <v>37</v>
      </c>
      <c r="AG282" s="131">
        <f t="shared" si="340"/>
        <v>0.5138888889</v>
      </c>
      <c r="AH282" s="90">
        <f t="shared" si="345"/>
        <v>10594.4919</v>
      </c>
      <c r="AI282" s="90">
        <f t="shared" si="346"/>
        <v>-25958.18147</v>
      </c>
      <c r="AJ282" s="90">
        <f t="shared" ref="AJ282:AK282" si="351">-AH282</f>
        <v>-10594.4919</v>
      </c>
      <c r="AK282" s="90">
        <f t="shared" si="351"/>
        <v>25958.18147</v>
      </c>
      <c r="AL282" s="101">
        <f t="shared" si="342"/>
        <v>-2.450158225</v>
      </c>
    </row>
    <row r="283" hidden="1">
      <c r="A283" s="305" t="s">
        <v>930</v>
      </c>
      <c r="B283" s="65" t="s">
        <v>931</v>
      </c>
      <c r="C283" s="15"/>
      <c r="D283" s="66" t="s">
        <v>408</v>
      </c>
      <c r="E283" s="67">
        <v>0.0</v>
      </c>
      <c r="F283" s="15" t="s">
        <v>932</v>
      </c>
      <c r="H283" s="31"/>
      <c r="I283" s="293"/>
      <c r="J283" s="293"/>
      <c r="K283" s="31"/>
      <c r="P283" s="115">
        <f t="shared" ref="P283:Q283" si="352">+P282+1</f>
        <v>40</v>
      </c>
      <c r="Q283" s="115">
        <f t="shared" si="352"/>
        <v>39.5</v>
      </c>
      <c r="R283" s="115">
        <v>1.0</v>
      </c>
      <c r="S283" s="95">
        <f t="shared" si="330"/>
        <v>6</v>
      </c>
      <c r="T283" s="95">
        <f t="shared" si="331"/>
        <v>0</v>
      </c>
      <c r="U283" s="95">
        <f t="shared" si="332"/>
        <v>0</v>
      </c>
      <c r="V283" s="95">
        <f t="shared" si="333"/>
        <v>0</v>
      </c>
      <c r="W283" s="91">
        <f t="shared" si="334"/>
        <v>6</v>
      </c>
      <c r="X283" s="91">
        <f t="shared" si="335"/>
        <v>25.35163419</v>
      </c>
      <c r="Y283" s="101">
        <f t="shared" si="336"/>
        <v>152.1098051</v>
      </c>
      <c r="Z283" s="275">
        <f t="shared" si="337"/>
        <v>6008.337302</v>
      </c>
      <c r="AA283" s="272"/>
      <c r="AB283" s="276">
        <f t="shared" si="338"/>
        <v>7807.946264</v>
      </c>
      <c r="AC283" s="101">
        <f t="shared" si="339"/>
        <v>3391.53406</v>
      </c>
      <c r="AD283" s="101">
        <f>IF(ABS(AC283)&lt;Y283,SUM(Y$237:Y282)-AC283-SUM(Y283:Y351),0)</f>
        <v>0</v>
      </c>
      <c r="AF283" s="115">
        <f t="shared" si="344"/>
        <v>38</v>
      </c>
      <c r="AG283" s="131">
        <f t="shared" si="340"/>
        <v>0.5277777778</v>
      </c>
      <c r="AH283" s="90">
        <f t="shared" si="345"/>
        <v>10892.14899</v>
      </c>
      <c r="AI283" s="90">
        <f t="shared" si="346"/>
        <v>-37417.9795</v>
      </c>
      <c r="AJ283" s="90">
        <f t="shared" ref="AJ283:AK283" si="353">-AH283</f>
        <v>-10892.14899</v>
      </c>
      <c r="AK283" s="90">
        <f t="shared" si="353"/>
        <v>37417.9795</v>
      </c>
      <c r="AL283" s="101">
        <f t="shared" si="342"/>
        <v>-3.435316532</v>
      </c>
    </row>
    <row r="284" ht="12.75" hidden="1" customHeight="1">
      <c r="A284" s="70" t="s">
        <v>933</v>
      </c>
      <c r="B284" s="13" t="s">
        <v>934</v>
      </c>
      <c r="C284" s="15"/>
      <c r="D284" s="66" t="s">
        <v>459</v>
      </c>
      <c r="E284" s="67">
        <f>C273</f>
        <v>6</v>
      </c>
      <c r="F284" s="15"/>
      <c r="H284" s="31"/>
      <c r="I284" s="293"/>
      <c r="J284" s="293"/>
      <c r="K284" s="31"/>
      <c r="P284" s="115">
        <f t="shared" ref="P284:Q284" si="354">+P283+1</f>
        <v>41</v>
      </c>
      <c r="Q284" s="115">
        <f t="shared" si="354"/>
        <v>40.5</v>
      </c>
      <c r="R284" s="115">
        <v>1.0</v>
      </c>
      <c r="S284" s="95">
        <f t="shared" si="330"/>
        <v>6</v>
      </c>
      <c r="T284" s="95">
        <f t="shared" si="331"/>
        <v>0</v>
      </c>
      <c r="U284" s="95">
        <f t="shared" si="332"/>
        <v>0</v>
      </c>
      <c r="V284" s="95">
        <f t="shared" si="333"/>
        <v>0</v>
      </c>
      <c r="W284" s="91">
        <f t="shared" si="334"/>
        <v>6</v>
      </c>
      <c r="X284" s="91">
        <f t="shared" si="335"/>
        <v>25.89851073</v>
      </c>
      <c r="Y284" s="101">
        <f t="shared" si="336"/>
        <v>155.3910644</v>
      </c>
      <c r="Z284" s="275">
        <f t="shared" si="337"/>
        <v>6293.338108</v>
      </c>
      <c r="AA284" s="272"/>
      <c r="AB284" s="276">
        <f t="shared" si="338"/>
        <v>8131.767602</v>
      </c>
      <c r="AC284" s="101">
        <f t="shared" si="339"/>
        <v>3631.318952</v>
      </c>
      <c r="AD284" s="101">
        <f>IF(ABS(AC284)&lt;Y284,SUM(Y$237:Y283)-AC284-SUM(Y284:Y351),0)</f>
        <v>0</v>
      </c>
      <c r="AF284" s="115">
        <f t="shared" si="344"/>
        <v>39</v>
      </c>
      <c r="AG284" s="131">
        <f t="shared" si="340"/>
        <v>0.5416666667</v>
      </c>
      <c r="AH284" s="90">
        <f t="shared" si="345"/>
        <v>11196.3686</v>
      </c>
      <c r="AI284" s="90">
        <f t="shared" si="346"/>
        <v>-49434.6541</v>
      </c>
      <c r="AJ284" s="90">
        <f t="shared" ref="AJ284:AK284" si="355">-AH284</f>
        <v>-11196.3686</v>
      </c>
      <c r="AK284" s="90">
        <f t="shared" si="355"/>
        <v>49434.6541</v>
      </c>
      <c r="AL284" s="101">
        <f t="shared" si="342"/>
        <v>-4.415239964</v>
      </c>
    </row>
    <row r="285" ht="12.75" hidden="1" customHeight="1">
      <c r="A285" s="70" t="s">
        <v>935</v>
      </c>
      <c r="B285" s="13" t="s">
        <v>936</v>
      </c>
      <c r="C285" s="94"/>
      <c r="D285" s="66" t="s">
        <v>937</v>
      </c>
      <c r="E285" s="172">
        <v>0.0</v>
      </c>
      <c r="F285" s="15"/>
      <c r="P285" s="115">
        <f t="shared" ref="P285:Q285" si="356">+P284+1</f>
        <v>42</v>
      </c>
      <c r="Q285" s="115">
        <f t="shared" si="356"/>
        <v>41.5</v>
      </c>
      <c r="R285" s="115">
        <v>1.0</v>
      </c>
      <c r="S285" s="95">
        <f t="shared" si="330"/>
        <v>6</v>
      </c>
      <c r="T285" s="95">
        <f t="shared" si="331"/>
        <v>0</v>
      </c>
      <c r="U285" s="95">
        <f t="shared" si="332"/>
        <v>0</v>
      </c>
      <c r="V285" s="95">
        <f t="shared" si="333"/>
        <v>0</v>
      </c>
      <c r="W285" s="91">
        <f t="shared" si="334"/>
        <v>6</v>
      </c>
      <c r="X285" s="91">
        <f t="shared" si="335"/>
        <v>26.44538728</v>
      </c>
      <c r="Y285" s="101">
        <f t="shared" si="336"/>
        <v>158.6723237</v>
      </c>
      <c r="Z285" s="275">
        <f t="shared" si="337"/>
        <v>6584.901432</v>
      </c>
      <c r="AA285" s="272"/>
      <c r="AB285" s="276">
        <f t="shared" si="338"/>
        <v>8462.151459</v>
      </c>
      <c r="AC285" s="101">
        <f t="shared" si="339"/>
        <v>3874.378402</v>
      </c>
      <c r="AD285" s="101">
        <f>IF(ABS(AC285)&lt;Y285,SUM(Y$237:Y284)-AC285-SUM(Y285:Y351),0)</f>
        <v>0</v>
      </c>
      <c r="AF285" s="115">
        <f t="shared" si="344"/>
        <v>40</v>
      </c>
      <c r="AG285" s="131">
        <f t="shared" si="340"/>
        <v>0.5555555556</v>
      </c>
      <c r="AH285" s="90">
        <f t="shared" si="345"/>
        <v>11507.15073</v>
      </c>
      <c r="AI285" s="90">
        <f t="shared" si="346"/>
        <v>-62021.33032</v>
      </c>
      <c r="AJ285" s="90">
        <f t="shared" ref="AJ285:AK285" si="357">-AH285</f>
        <v>-11507.15073</v>
      </c>
      <c r="AK285" s="90">
        <f t="shared" si="357"/>
        <v>62021.33032</v>
      </c>
      <c r="AL285" s="101">
        <f t="shared" si="342"/>
        <v>-5.389807762</v>
      </c>
    </row>
    <row r="286" ht="12.75" hidden="1" customHeight="1">
      <c r="A286" s="70" t="s">
        <v>938</v>
      </c>
      <c r="B286" s="15" t="s">
        <v>939</v>
      </c>
      <c r="C286" s="15"/>
      <c r="D286" s="66" t="s">
        <v>940</v>
      </c>
      <c r="E286" s="306">
        <f>I347</f>
        <v>4321.526833</v>
      </c>
      <c r="F286" s="307" t="s">
        <v>941</v>
      </c>
      <c r="P286" s="115">
        <f t="shared" ref="P286:Q286" si="358">+P285+1</f>
        <v>43</v>
      </c>
      <c r="Q286" s="115">
        <f t="shared" si="358"/>
        <v>42.5</v>
      </c>
      <c r="R286" s="115">
        <v>1.0</v>
      </c>
      <c r="S286" s="95">
        <f t="shared" si="330"/>
        <v>6</v>
      </c>
      <c r="T286" s="95">
        <f t="shared" si="331"/>
        <v>0</v>
      </c>
      <c r="U286" s="95">
        <f t="shared" si="332"/>
        <v>0</v>
      </c>
      <c r="V286" s="95">
        <f t="shared" si="333"/>
        <v>0</v>
      </c>
      <c r="W286" s="91">
        <f t="shared" si="334"/>
        <v>6</v>
      </c>
      <c r="X286" s="91">
        <f t="shared" si="335"/>
        <v>26.99226382</v>
      </c>
      <c r="Y286" s="101">
        <f t="shared" si="336"/>
        <v>161.9535829</v>
      </c>
      <c r="Z286" s="275">
        <f t="shared" si="337"/>
        <v>6883.027275</v>
      </c>
      <c r="AA286" s="272"/>
      <c r="AB286" s="276">
        <f t="shared" si="338"/>
        <v>8799.097834</v>
      </c>
      <c r="AC286" s="101">
        <f t="shared" si="339"/>
        <v>4120.773174</v>
      </c>
      <c r="AD286" s="101">
        <f>IF(ABS(AC286)&lt;Y286,SUM(Y$237:Y285)-AC286-SUM(Y286:Y351),0)</f>
        <v>0</v>
      </c>
      <c r="AF286" s="115">
        <f t="shared" si="344"/>
        <v>41</v>
      </c>
      <c r="AG286" s="131">
        <f t="shared" si="340"/>
        <v>0.5694444444</v>
      </c>
      <c r="AH286" s="90">
        <f t="shared" si="345"/>
        <v>11824.49538</v>
      </c>
      <c r="AI286" s="90">
        <f t="shared" si="346"/>
        <v>-75191.13318</v>
      </c>
      <c r="AJ286" s="90">
        <f t="shared" ref="AJ286:AK286" si="359">-AH286</f>
        <v>-11824.49538</v>
      </c>
      <c r="AK286" s="90">
        <f t="shared" si="359"/>
        <v>75191.13318</v>
      </c>
      <c r="AL286" s="101">
        <f t="shared" si="342"/>
        <v>-6.35892956</v>
      </c>
    </row>
    <row r="287" ht="12.75" hidden="1" customHeight="1">
      <c r="A287" s="93" t="s">
        <v>391</v>
      </c>
      <c r="B287" s="15" t="s">
        <v>942</v>
      </c>
      <c r="C287" s="15"/>
      <c r="D287" s="66" t="s">
        <v>517</v>
      </c>
      <c r="E287" s="67">
        <f>VLOOKUP(C20,R50:U63,4,0)</f>
        <v>35</v>
      </c>
      <c r="F287" s="15" t="s">
        <v>943</v>
      </c>
      <c r="P287" s="115">
        <f t="shared" ref="P287:Q287" si="360">+P286+1</f>
        <v>44</v>
      </c>
      <c r="Q287" s="115">
        <f t="shared" si="360"/>
        <v>43.5</v>
      </c>
      <c r="R287" s="115">
        <v>1.0</v>
      </c>
      <c r="S287" s="95">
        <f t="shared" si="330"/>
        <v>6</v>
      </c>
      <c r="T287" s="95">
        <f t="shared" si="331"/>
        <v>0</v>
      </c>
      <c r="U287" s="95">
        <f t="shared" si="332"/>
        <v>0</v>
      </c>
      <c r="V287" s="95">
        <f t="shared" si="333"/>
        <v>0</v>
      </c>
      <c r="W287" s="91">
        <f t="shared" si="334"/>
        <v>6</v>
      </c>
      <c r="X287" s="91">
        <f t="shared" si="335"/>
        <v>27.53914037</v>
      </c>
      <c r="Y287" s="101">
        <f t="shared" si="336"/>
        <v>165.2348422</v>
      </c>
      <c r="Z287" s="275">
        <f t="shared" si="337"/>
        <v>7187.715637</v>
      </c>
      <c r="AA287" s="272"/>
      <c r="AB287" s="276">
        <f t="shared" si="338"/>
        <v>9142.606728</v>
      </c>
      <c r="AC287" s="101">
        <f t="shared" si="339"/>
        <v>4370.559639</v>
      </c>
      <c r="AD287" s="101">
        <f>IF(ABS(AC287)&lt;Y287,SUM(Y$237:Y286)-AC287-SUM(Y287:Y351),0)</f>
        <v>0</v>
      </c>
      <c r="AF287" s="115">
        <f t="shared" si="344"/>
        <v>42</v>
      </c>
      <c r="AG287" s="131">
        <f t="shared" si="340"/>
        <v>0.5833333333</v>
      </c>
      <c r="AH287" s="90">
        <f t="shared" si="345"/>
        <v>12148.40254</v>
      </c>
      <c r="AI287" s="90">
        <f t="shared" si="346"/>
        <v>-88957.18773</v>
      </c>
      <c r="AJ287" s="90">
        <f t="shared" ref="AJ287:AK287" si="361">-AH287</f>
        <v>-12148.40254</v>
      </c>
      <c r="AK287" s="90">
        <f t="shared" si="361"/>
        <v>88957.18773</v>
      </c>
      <c r="AL287" s="101">
        <f t="shared" si="342"/>
        <v>-7.32254199</v>
      </c>
    </row>
    <row r="288" ht="12.75" hidden="1" customHeight="1">
      <c r="A288" s="70" t="s">
        <v>944</v>
      </c>
      <c r="B288" s="15" t="s">
        <v>945</v>
      </c>
      <c r="C288" s="15"/>
      <c r="D288" s="66" t="s">
        <v>946</v>
      </c>
      <c r="E288" s="67">
        <f>VLOOKUP(C20,R50:V63,5,0)</f>
        <v>0</v>
      </c>
      <c r="F288" s="15" t="s">
        <v>947</v>
      </c>
      <c r="P288" s="115">
        <f t="shared" ref="P288:Q288" si="362">+P287+1</f>
        <v>45</v>
      </c>
      <c r="Q288" s="115">
        <f t="shared" si="362"/>
        <v>44.5</v>
      </c>
      <c r="R288" s="115">
        <v>1.0</v>
      </c>
      <c r="S288" s="95">
        <f t="shared" si="330"/>
        <v>6</v>
      </c>
      <c r="T288" s="95">
        <f t="shared" si="331"/>
        <v>0</v>
      </c>
      <c r="U288" s="95">
        <f t="shared" si="332"/>
        <v>0</v>
      </c>
      <c r="V288" s="95">
        <f t="shared" si="333"/>
        <v>0</v>
      </c>
      <c r="W288" s="91">
        <f t="shared" si="334"/>
        <v>6</v>
      </c>
      <c r="X288" s="91">
        <f t="shared" si="335"/>
        <v>28.08601692</v>
      </c>
      <c r="Y288" s="101">
        <f t="shared" si="336"/>
        <v>168.5161015</v>
      </c>
      <c r="Z288" s="275">
        <f t="shared" si="337"/>
        <v>7498.966517</v>
      </c>
      <c r="AA288" s="272"/>
      <c r="AB288" s="276">
        <f t="shared" si="338"/>
        <v>9492.67814</v>
      </c>
      <c r="AC288" s="101">
        <f t="shared" si="339"/>
        <v>4623.790166</v>
      </c>
      <c r="AD288" s="101">
        <f>IF(ABS(AC288)&lt;Y288,SUM(Y$237:Y287)-AC288-SUM(Y288:Y351),0)</f>
        <v>0</v>
      </c>
      <c r="AF288" s="115">
        <f t="shared" si="344"/>
        <v>43</v>
      </c>
      <c r="AG288" s="131">
        <f t="shared" si="340"/>
        <v>0.5972222222</v>
      </c>
      <c r="AH288" s="90">
        <f t="shared" si="345"/>
        <v>12478.87223</v>
      </c>
      <c r="AI288" s="90">
        <f t="shared" si="346"/>
        <v>-103332.619</v>
      </c>
      <c r="AJ288" s="90">
        <f t="shared" ref="AJ288:AK288" si="363">-AH288</f>
        <v>-12478.87223</v>
      </c>
      <c r="AK288" s="90">
        <f t="shared" si="363"/>
        <v>103332.619</v>
      </c>
      <c r="AL288" s="101">
        <f t="shared" si="342"/>
        <v>-8.28060558</v>
      </c>
    </row>
    <row r="289" ht="12.75" hidden="1" customHeight="1">
      <c r="A289" s="70" t="s">
        <v>948</v>
      </c>
      <c r="B289" s="13" t="s">
        <v>949</v>
      </c>
      <c r="C289" s="15"/>
      <c r="D289" s="66" t="s">
        <v>421</v>
      </c>
      <c r="E289" s="171">
        <f>C277</f>
        <v>1200</v>
      </c>
      <c r="F289" s="15" t="s">
        <v>422</v>
      </c>
      <c r="P289" s="115">
        <f t="shared" ref="P289:Q289" si="364">+P288+1</f>
        <v>46</v>
      </c>
      <c r="Q289" s="115">
        <f t="shared" si="364"/>
        <v>45.5</v>
      </c>
      <c r="R289" s="115">
        <v>1.0</v>
      </c>
      <c r="S289" s="95">
        <f t="shared" si="330"/>
        <v>6</v>
      </c>
      <c r="T289" s="95">
        <f t="shared" si="331"/>
        <v>0</v>
      </c>
      <c r="U289" s="95">
        <f t="shared" si="332"/>
        <v>0</v>
      </c>
      <c r="V289" s="95">
        <f t="shared" si="333"/>
        <v>0</v>
      </c>
      <c r="W289" s="91">
        <f t="shared" si="334"/>
        <v>6</v>
      </c>
      <c r="X289" s="91">
        <f t="shared" si="335"/>
        <v>28.63289346</v>
      </c>
      <c r="Y289" s="101">
        <f t="shared" si="336"/>
        <v>171.7973608</v>
      </c>
      <c r="Z289" s="275">
        <f t="shared" si="337"/>
        <v>7816.779915</v>
      </c>
      <c r="AA289" s="272"/>
      <c r="AB289" s="276">
        <f t="shared" si="338"/>
        <v>9849.312071</v>
      </c>
      <c r="AC289" s="101">
        <f t="shared" si="339"/>
        <v>4880.513468</v>
      </c>
      <c r="AD289" s="101">
        <f>IF(ABS(AC289)&lt;Y289,SUM(Y$237:Y288)-AC289-SUM(Y289:Y351),0)</f>
        <v>0</v>
      </c>
      <c r="AF289" s="115">
        <f t="shared" si="344"/>
        <v>44</v>
      </c>
      <c r="AG289" s="131">
        <f t="shared" si="340"/>
        <v>0.6111111111</v>
      </c>
      <c r="AH289" s="90">
        <f t="shared" si="345"/>
        <v>12815.90443</v>
      </c>
      <c r="AI289" s="90">
        <f t="shared" si="346"/>
        <v>-118330.552</v>
      </c>
      <c r="AJ289" s="90">
        <f t="shared" ref="AJ289:AK289" si="365">-AH289</f>
        <v>-12815.90443</v>
      </c>
      <c r="AK289" s="90">
        <f t="shared" si="365"/>
        <v>118330.552</v>
      </c>
      <c r="AL289" s="101">
        <f t="shared" si="342"/>
        <v>-9.233101938</v>
      </c>
    </row>
    <row r="290" ht="12.75" hidden="1" customHeight="1">
      <c r="A290" s="70" t="s">
        <v>950</v>
      </c>
      <c r="B290" s="13" t="s">
        <v>951</v>
      </c>
      <c r="C290" s="15"/>
      <c r="D290" s="66" t="s">
        <v>421</v>
      </c>
      <c r="E290" s="171">
        <v>0.0</v>
      </c>
      <c r="F290" s="15" t="s">
        <v>428</v>
      </c>
      <c r="P290" s="115">
        <f t="shared" ref="P290:Q290" si="366">+P289+1</f>
        <v>47</v>
      </c>
      <c r="Q290" s="115">
        <f t="shared" si="366"/>
        <v>46.5</v>
      </c>
      <c r="R290" s="115">
        <v>1.0</v>
      </c>
      <c r="S290" s="95">
        <f t="shared" si="330"/>
        <v>6</v>
      </c>
      <c r="T290" s="95">
        <f t="shared" si="331"/>
        <v>0</v>
      </c>
      <c r="U290" s="95">
        <f t="shared" si="332"/>
        <v>0</v>
      </c>
      <c r="V290" s="95">
        <f t="shared" si="333"/>
        <v>0</v>
      </c>
      <c r="W290" s="91">
        <f t="shared" si="334"/>
        <v>6</v>
      </c>
      <c r="X290" s="91">
        <f t="shared" si="335"/>
        <v>29.17977001</v>
      </c>
      <c r="Y290" s="101">
        <f t="shared" si="336"/>
        <v>175.0786201</v>
      </c>
      <c r="Z290" s="275">
        <f t="shared" si="337"/>
        <v>8141.155833</v>
      </c>
      <c r="AA290" s="272"/>
      <c r="AB290" s="276">
        <f t="shared" si="338"/>
        <v>10212.50852</v>
      </c>
      <c r="AC290" s="101">
        <f t="shared" si="339"/>
        <v>5140.774921</v>
      </c>
      <c r="AD290" s="101">
        <f>IF(ABS(AC290)&lt;Y290,SUM(Y$237:Y289)-AC290-SUM(Y290:Y351),0)</f>
        <v>0</v>
      </c>
      <c r="AF290" s="115">
        <f t="shared" si="344"/>
        <v>45</v>
      </c>
      <c r="AG290" s="131">
        <f t="shared" si="340"/>
        <v>0.625</v>
      </c>
      <c r="AH290" s="90">
        <f t="shared" si="345"/>
        <v>13159.49915</v>
      </c>
      <c r="AI290" s="90">
        <f t="shared" si="346"/>
        <v>-133964.1119</v>
      </c>
      <c r="AJ290" s="90">
        <f t="shared" ref="AJ290:AK290" si="367">-AH290</f>
        <v>-13159.49915</v>
      </c>
      <c r="AK290" s="90">
        <f t="shared" si="367"/>
        <v>133964.1119</v>
      </c>
      <c r="AL290" s="101">
        <f t="shared" si="342"/>
        <v>-10.18003119</v>
      </c>
    </row>
    <row r="291" ht="12.75" hidden="1" customHeight="1">
      <c r="A291" s="70" t="s">
        <v>952</v>
      </c>
      <c r="B291" s="13" t="s">
        <v>953</v>
      </c>
      <c r="C291" s="85"/>
      <c r="D291" s="66" t="s">
        <v>448</v>
      </c>
      <c r="E291" s="288">
        <f>IF(and(C20="clay",C20="silt",C20="sandy clay",C20="silty clay"),F327,F321)</f>
        <v>0.525</v>
      </c>
      <c r="F291" s="15" t="s">
        <v>449</v>
      </c>
      <c r="P291" s="115">
        <f t="shared" ref="P291:Q291" si="368">+P290+1</f>
        <v>48</v>
      </c>
      <c r="Q291" s="115">
        <f t="shared" si="368"/>
        <v>47.5</v>
      </c>
      <c r="R291" s="115">
        <v>1.0</v>
      </c>
      <c r="S291" s="95">
        <f t="shared" si="330"/>
        <v>6</v>
      </c>
      <c r="T291" s="95">
        <f t="shared" si="331"/>
        <v>0</v>
      </c>
      <c r="U291" s="95">
        <f t="shared" si="332"/>
        <v>0</v>
      </c>
      <c r="V291" s="95">
        <f t="shared" si="333"/>
        <v>0</v>
      </c>
      <c r="W291" s="91">
        <f t="shared" si="334"/>
        <v>6</v>
      </c>
      <c r="X291" s="91">
        <f t="shared" si="335"/>
        <v>29.72664656</v>
      </c>
      <c r="Y291" s="101">
        <f t="shared" si="336"/>
        <v>178.3598793</v>
      </c>
      <c r="Z291" s="275">
        <f t="shared" si="337"/>
        <v>8472.094268</v>
      </c>
      <c r="AA291" s="272"/>
      <c r="AB291" s="276">
        <f t="shared" si="338"/>
        <v>10582.26749</v>
      </c>
      <c r="AC291" s="101">
        <f t="shared" si="339"/>
        <v>5404.616838</v>
      </c>
      <c r="AD291" s="101">
        <f>IF(ABS(AC291)&lt;Y291,SUM(Y$237:Y290)-AC291-SUM(Y291:Y351),0)</f>
        <v>0</v>
      </c>
      <c r="AF291" s="115">
        <f t="shared" si="344"/>
        <v>46</v>
      </c>
      <c r="AG291" s="131">
        <f t="shared" si="340"/>
        <v>0.6388888889</v>
      </c>
      <c r="AH291" s="90">
        <f t="shared" si="345"/>
        <v>13509.65639</v>
      </c>
      <c r="AI291" s="90">
        <f t="shared" si="346"/>
        <v>-150246.4235</v>
      </c>
      <c r="AJ291" s="90">
        <f t="shared" ref="AJ291:AK291" si="369">-AH291</f>
        <v>-13509.65639</v>
      </c>
      <c r="AK291" s="90">
        <f t="shared" si="369"/>
        <v>150246.4235</v>
      </c>
      <c r="AL291" s="101">
        <f t="shared" si="342"/>
        <v>-11.12140969</v>
      </c>
    </row>
    <row r="292" ht="12.75" hidden="1" customHeight="1">
      <c r="A292" s="70" t="s">
        <v>954</v>
      </c>
      <c r="B292" s="13" t="s">
        <v>955</v>
      </c>
      <c r="C292" s="15"/>
      <c r="D292" s="66" t="s">
        <v>448</v>
      </c>
      <c r="E292" s="288">
        <f>IF(and(C20="clay",C20="silt",C20="sandy clay",C20="silty clay"),I327,I321)</f>
        <v>2.666666667</v>
      </c>
      <c r="F292" s="15" t="s">
        <v>449</v>
      </c>
      <c r="P292" s="115">
        <f t="shared" ref="P292:Q292" si="370">+P291+1</f>
        <v>49</v>
      </c>
      <c r="Q292" s="115">
        <f t="shared" si="370"/>
        <v>48.5</v>
      </c>
      <c r="R292" s="115">
        <v>1.0</v>
      </c>
      <c r="S292" s="95">
        <f t="shared" si="330"/>
        <v>6</v>
      </c>
      <c r="T292" s="95">
        <f t="shared" si="331"/>
        <v>0</v>
      </c>
      <c r="U292" s="95">
        <f t="shared" si="332"/>
        <v>0</v>
      </c>
      <c r="V292" s="95">
        <f t="shared" si="333"/>
        <v>0</v>
      </c>
      <c r="W292" s="91">
        <f t="shared" si="334"/>
        <v>6</v>
      </c>
      <c r="X292" s="91">
        <f t="shared" si="335"/>
        <v>30.2735231</v>
      </c>
      <c r="Y292" s="101">
        <f t="shared" si="336"/>
        <v>181.6411386</v>
      </c>
      <c r="Z292" s="275">
        <f t="shared" si="337"/>
        <v>8809.595223</v>
      </c>
      <c r="AA292" s="272"/>
      <c r="AB292" s="276">
        <f t="shared" si="338"/>
        <v>10958.58898</v>
      </c>
      <c r="AC292" s="101">
        <f t="shared" si="339"/>
        <v>5672.07873</v>
      </c>
      <c r="AD292" s="101">
        <f>IF(ABS(AC292)&lt;Y292,SUM(Y$237:Y291)-AC292-SUM(Y292:Y351),0)</f>
        <v>0</v>
      </c>
      <c r="AF292" s="115">
        <f t="shared" si="344"/>
        <v>47</v>
      </c>
      <c r="AG292" s="131">
        <f t="shared" si="340"/>
        <v>0.6527777778</v>
      </c>
      <c r="AH292" s="90">
        <f t="shared" si="345"/>
        <v>13866.37615</v>
      </c>
      <c r="AI292" s="90">
        <f t="shared" si="346"/>
        <v>-167190.6121</v>
      </c>
      <c r="AJ292" s="90">
        <f t="shared" ref="AJ292:AK292" si="371">-AH292</f>
        <v>-13866.37615</v>
      </c>
      <c r="AK292" s="90">
        <f t="shared" si="371"/>
        <v>167190.6121</v>
      </c>
      <c r="AL292" s="101">
        <f t="shared" si="342"/>
        <v>-12.0572679</v>
      </c>
    </row>
    <row r="293" ht="12.75" hidden="1" customHeight="1">
      <c r="A293" s="70" t="s">
        <v>956</v>
      </c>
      <c r="B293" s="13" t="s">
        <v>957</v>
      </c>
      <c r="C293" s="15" t="s">
        <v>458</v>
      </c>
      <c r="D293" s="66" t="s">
        <v>958</v>
      </c>
      <c r="E293" s="91">
        <f t="array" ref="E293">(INDEX(A47:N154,E32,5)+INDEX(A47:N154,(E32+1),5))/2</f>
        <v>2.239583333</v>
      </c>
      <c r="F293" s="15"/>
      <c r="P293" s="115">
        <f t="shared" ref="P293:Q293" si="372">+P292+1</f>
        <v>50</v>
      </c>
      <c r="Q293" s="115">
        <f t="shared" si="372"/>
        <v>49.5</v>
      </c>
      <c r="R293" s="115">
        <v>1.0</v>
      </c>
      <c r="S293" s="95">
        <f t="shared" si="330"/>
        <v>6</v>
      </c>
      <c r="T293" s="95">
        <f t="shared" si="331"/>
        <v>0</v>
      </c>
      <c r="U293" s="95">
        <f t="shared" si="332"/>
        <v>0</v>
      </c>
      <c r="V293" s="95">
        <f t="shared" si="333"/>
        <v>0</v>
      </c>
      <c r="W293" s="91">
        <f t="shared" si="334"/>
        <v>6</v>
      </c>
      <c r="X293" s="91">
        <f t="shared" si="335"/>
        <v>30.82039965</v>
      </c>
      <c r="Y293" s="101">
        <f t="shared" si="336"/>
        <v>184.9223979</v>
      </c>
      <c r="Z293" s="275">
        <f t="shared" si="337"/>
        <v>9153.658696</v>
      </c>
      <c r="AA293" s="272"/>
      <c r="AB293" s="276">
        <f t="shared" si="338"/>
        <v>11341.47298</v>
      </c>
      <c r="AC293" s="101">
        <f t="shared" si="339"/>
        <v>5943.197529</v>
      </c>
      <c r="AD293" s="101">
        <f>IF(ABS(AC293)&lt;Y293,SUM(Y$237:Y292)-AC293-SUM(Y293:Y351),0)</f>
        <v>0</v>
      </c>
      <c r="AF293" s="115">
        <f t="shared" si="344"/>
        <v>48</v>
      </c>
      <c r="AG293" s="131">
        <f t="shared" si="340"/>
        <v>0.6666666667</v>
      </c>
      <c r="AH293" s="90">
        <f t="shared" si="345"/>
        <v>14229.65843</v>
      </c>
      <c r="AI293" s="90">
        <f t="shared" si="346"/>
        <v>-184809.8025</v>
      </c>
      <c r="AJ293" s="90">
        <f t="shared" ref="AJ293:AK293" si="373">-AH293</f>
        <v>-14229.65843</v>
      </c>
      <c r="AK293" s="90">
        <f t="shared" si="373"/>
        <v>184809.8025</v>
      </c>
      <c r="AL293" s="101">
        <f t="shared" si="342"/>
        <v>-12.98764854</v>
      </c>
    </row>
    <row r="294" ht="12.75" hidden="1" customHeight="1">
      <c r="A294" s="93" t="s">
        <v>249</v>
      </c>
      <c r="B294" s="13" t="s">
        <v>959</v>
      </c>
      <c r="C294" s="94" t="s">
        <v>960</v>
      </c>
      <c r="D294" s="66" t="s">
        <v>961</v>
      </c>
      <c r="E294" s="122">
        <f>+E293/E284</f>
        <v>0.3732638889</v>
      </c>
      <c r="F294" s="15"/>
      <c r="P294" s="115">
        <f t="shared" ref="P294:Q294" si="374">+P293+1</f>
        <v>51</v>
      </c>
      <c r="Q294" s="115">
        <f t="shared" si="374"/>
        <v>50.5</v>
      </c>
      <c r="R294" s="115">
        <v>1.0</v>
      </c>
      <c r="S294" s="95">
        <f t="shared" si="330"/>
        <v>6</v>
      </c>
      <c r="T294" s="95">
        <f t="shared" si="331"/>
        <v>0</v>
      </c>
      <c r="U294" s="95">
        <f t="shared" si="332"/>
        <v>0</v>
      </c>
      <c r="V294" s="95">
        <f t="shared" si="333"/>
        <v>0</v>
      </c>
      <c r="W294" s="91">
        <f t="shared" si="334"/>
        <v>6</v>
      </c>
      <c r="X294" s="91">
        <f t="shared" si="335"/>
        <v>31.3672762</v>
      </c>
      <c r="Y294" s="101">
        <f t="shared" si="336"/>
        <v>188.2036572</v>
      </c>
      <c r="Z294" s="275">
        <f t="shared" si="337"/>
        <v>9504.284687</v>
      </c>
      <c r="AA294" s="272"/>
      <c r="AB294" s="276">
        <f t="shared" si="338"/>
        <v>11730.9195</v>
      </c>
      <c r="AC294" s="101">
        <f t="shared" si="339"/>
        <v>6218.007797</v>
      </c>
      <c r="AD294" s="101">
        <f>IF(ABS(AC294)&lt;Y294,SUM(Y$237:Y293)-AC294-SUM(Y294:Y351),0)</f>
        <v>0</v>
      </c>
      <c r="AF294" s="115">
        <f t="shared" si="344"/>
        <v>49</v>
      </c>
      <c r="AG294" s="131">
        <f t="shared" si="340"/>
        <v>0.6805555556</v>
      </c>
      <c r="AH294" s="90">
        <f t="shared" si="345"/>
        <v>14599.50322</v>
      </c>
      <c r="AI294" s="90">
        <f t="shared" si="346"/>
        <v>-203117.1199</v>
      </c>
      <c r="AJ294" s="90">
        <f t="shared" ref="AJ294:AK294" si="375">-AH294</f>
        <v>-14599.50322</v>
      </c>
      <c r="AK294" s="90">
        <f t="shared" si="375"/>
        <v>203117.1199</v>
      </c>
      <c r="AL294" s="101">
        <f t="shared" si="342"/>
        <v>-13.91260489</v>
      </c>
    </row>
    <row r="295" ht="12.75" hidden="1" customHeight="1">
      <c r="A295" s="70" t="s">
        <v>251</v>
      </c>
      <c r="B295" s="13" t="s">
        <v>962</v>
      </c>
      <c r="C295" s="15" t="s">
        <v>963</v>
      </c>
      <c r="D295" s="66" t="s">
        <v>408</v>
      </c>
      <c r="E295" s="101">
        <f>IF(E287&lt;20,2.5*E282,E282*(5.78-0.35*E287+0.00947*E287*E287))</f>
        <v>184.707</v>
      </c>
      <c r="F295" s="15" t="str">
        <f>IF(E287&lt;0.1,"Not applicable for cohesive soils",IF(E295&gt;E284,"Shallow foundation under uplift","Deep foundation under uplift"))</f>
        <v>Shallow foundation under uplift</v>
      </c>
      <c r="P295" s="115">
        <f t="shared" ref="P295:Q295" si="376">+P294+1</f>
        <v>52</v>
      </c>
      <c r="Q295" s="115">
        <f t="shared" si="376"/>
        <v>51.5</v>
      </c>
      <c r="R295" s="115">
        <v>1.0</v>
      </c>
      <c r="S295" s="95">
        <f t="shared" si="330"/>
        <v>6</v>
      </c>
      <c r="T295" s="95">
        <f t="shared" si="331"/>
        <v>0</v>
      </c>
      <c r="U295" s="95">
        <f t="shared" si="332"/>
        <v>0</v>
      </c>
      <c r="V295" s="95">
        <f t="shared" si="333"/>
        <v>0</v>
      </c>
      <c r="W295" s="91">
        <f t="shared" si="334"/>
        <v>6</v>
      </c>
      <c r="X295" s="91">
        <f t="shared" si="335"/>
        <v>31.91415274</v>
      </c>
      <c r="Y295" s="101">
        <f t="shared" si="336"/>
        <v>191.4849164</v>
      </c>
      <c r="Z295" s="275">
        <f t="shared" si="337"/>
        <v>9861.473197</v>
      </c>
      <c r="AA295" s="272"/>
      <c r="AB295" s="276">
        <f t="shared" si="338"/>
        <v>12126.92855</v>
      </c>
      <c r="AC295" s="101">
        <f t="shared" si="339"/>
        <v>6496.541914</v>
      </c>
      <c r="AD295" s="101">
        <f>IF(ABS(AC295)&lt;Y295,SUM(Y$237:Y294)-AC295-SUM(Y295:Y351),0)</f>
        <v>0</v>
      </c>
      <c r="AF295" s="115">
        <f t="shared" si="344"/>
        <v>50</v>
      </c>
      <c r="AG295" s="131">
        <f t="shared" si="340"/>
        <v>0.6944444444</v>
      </c>
      <c r="AH295" s="90">
        <f t="shared" si="345"/>
        <v>14975.91054</v>
      </c>
      <c r="AI295" s="90">
        <f t="shared" si="346"/>
        <v>-222125.6893</v>
      </c>
      <c r="AJ295" s="90">
        <f t="shared" ref="AJ295:AK295" si="377">-AH295</f>
        <v>-14975.91054</v>
      </c>
      <c r="AK295" s="90">
        <f t="shared" si="377"/>
        <v>222125.6893</v>
      </c>
      <c r="AL295" s="101">
        <f t="shared" si="342"/>
        <v>-14.83219927</v>
      </c>
    </row>
    <row r="296" ht="12.75" hidden="1" customHeight="1">
      <c r="A296" s="70" t="s">
        <v>249</v>
      </c>
      <c r="B296" s="15" t="s">
        <v>964</v>
      </c>
      <c r="C296" s="15"/>
      <c r="D296" s="66" t="s">
        <v>965</v>
      </c>
      <c r="E296" s="308">
        <v>1.0</v>
      </c>
      <c r="F296" s="15"/>
      <c r="P296" s="115">
        <f t="shared" ref="P296:Q296" si="378">+P295+1</f>
        <v>53</v>
      </c>
      <c r="Q296" s="115">
        <f t="shared" si="378"/>
        <v>52.5</v>
      </c>
      <c r="R296" s="115">
        <v>1.0</v>
      </c>
      <c r="S296" s="95">
        <f t="shared" si="330"/>
        <v>6</v>
      </c>
      <c r="T296" s="95">
        <f t="shared" si="331"/>
        <v>0</v>
      </c>
      <c r="U296" s="95">
        <f t="shared" si="332"/>
        <v>0</v>
      </c>
      <c r="V296" s="95">
        <f t="shared" si="333"/>
        <v>0</v>
      </c>
      <c r="W296" s="91">
        <f t="shared" si="334"/>
        <v>6</v>
      </c>
      <c r="X296" s="91">
        <f t="shared" si="335"/>
        <v>32.46102929</v>
      </c>
      <c r="Y296" s="101">
        <f t="shared" si="336"/>
        <v>194.7661757</v>
      </c>
      <c r="Z296" s="275">
        <f t="shared" si="337"/>
        <v>10225.22423</v>
      </c>
      <c r="AA296" s="272"/>
      <c r="AB296" s="276">
        <f t="shared" si="338"/>
        <v>12529.50011</v>
      </c>
      <c r="AC296" s="101">
        <f t="shared" si="339"/>
        <v>6778.830247</v>
      </c>
      <c r="AD296" s="101">
        <f>IF(ABS(AC296)&lt;Y296,SUM(Y$237:Y295)-AC296-SUM(Y296:Y351),0)</f>
        <v>0</v>
      </c>
      <c r="AF296" s="115">
        <f t="shared" si="344"/>
        <v>51</v>
      </c>
      <c r="AG296" s="131">
        <f t="shared" si="340"/>
        <v>0.7083333333</v>
      </c>
      <c r="AH296" s="90">
        <f t="shared" si="345"/>
        <v>15358.88037</v>
      </c>
      <c r="AI296" s="90">
        <f t="shared" si="346"/>
        <v>-241848.6357</v>
      </c>
      <c r="AJ296" s="90">
        <f t="shared" ref="AJ296:AK296" si="379">-AH296</f>
        <v>-15358.88037</v>
      </c>
      <c r="AK296" s="90">
        <f t="shared" si="379"/>
        <v>241848.6357</v>
      </c>
      <c r="AL296" s="101">
        <f t="shared" si="342"/>
        <v>-15.74650169</v>
      </c>
    </row>
    <row r="297" ht="12.75" hidden="1" customHeight="1">
      <c r="A297" s="70" t="s">
        <v>966</v>
      </c>
      <c r="B297" s="13" t="s">
        <v>967</v>
      </c>
      <c r="C297" s="15"/>
      <c r="D297" s="66" t="s">
        <v>448</v>
      </c>
      <c r="E297" s="170">
        <v>0.95</v>
      </c>
      <c r="F297" s="15"/>
      <c r="P297" s="115">
        <f t="shared" ref="P297:Q297" si="380">+P296+1</f>
        <v>54</v>
      </c>
      <c r="Q297" s="115">
        <f t="shared" si="380"/>
        <v>53.5</v>
      </c>
      <c r="R297" s="115">
        <v>1.0</v>
      </c>
      <c r="S297" s="95">
        <f t="shared" si="330"/>
        <v>6</v>
      </c>
      <c r="T297" s="95">
        <f t="shared" si="331"/>
        <v>0</v>
      </c>
      <c r="U297" s="95">
        <f t="shared" si="332"/>
        <v>0</v>
      </c>
      <c r="V297" s="95">
        <f t="shared" si="333"/>
        <v>0</v>
      </c>
      <c r="W297" s="91">
        <f t="shared" si="334"/>
        <v>6</v>
      </c>
      <c r="X297" s="91">
        <f t="shared" si="335"/>
        <v>33.00790583</v>
      </c>
      <c r="Y297" s="101">
        <f t="shared" si="336"/>
        <v>198.047435</v>
      </c>
      <c r="Z297" s="275">
        <f t="shared" si="337"/>
        <v>10595.53777</v>
      </c>
      <c r="AA297" s="272"/>
      <c r="AB297" s="276">
        <f t="shared" si="338"/>
        <v>12938.63419</v>
      </c>
      <c r="AC297" s="101">
        <f t="shared" si="339"/>
        <v>7064.901302</v>
      </c>
      <c r="AD297" s="101">
        <f>IF(ABS(AC297)&lt;Y297,SUM(Y$237:Y296)-AC297-SUM(Y297:Y351),0)</f>
        <v>0</v>
      </c>
      <c r="AF297" s="115">
        <f t="shared" si="344"/>
        <v>52</v>
      </c>
      <c r="AG297" s="131">
        <f t="shared" si="340"/>
        <v>0.7222222222</v>
      </c>
      <c r="AH297" s="90">
        <f t="shared" si="345"/>
        <v>15748.41272</v>
      </c>
      <c r="AI297" s="90">
        <f t="shared" si="346"/>
        <v>-262299.0841</v>
      </c>
      <c r="AJ297" s="90">
        <f t="shared" ref="AJ297:AK297" si="381">-AH297</f>
        <v>-15748.41272</v>
      </c>
      <c r="AK297" s="90">
        <f t="shared" si="381"/>
        <v>262299.0841</v>
      </c>
      <c r="AL297" s="101">
        <f t="shared" si="342"/>
        <v>-16.65558865</v>
      </c>
    </row>
    <row r="298" ht="12.75" hidden="1" customHeight="1">
      <c r="A298" s="96" t="s">
        <v>968</v>
      </c>
      <c r="B298" s="97" t="s">
        <v>969</v>
      </c>
      <c r="C298" s="97" t="s">
        <v>970</v>
      </c>
      <c r="D298" s="98" t="s">
        <v>448</v>
      </c>
      <c r="E298" s="99">
        <f>IF(E295&gt;E284,(1+1.105*10^(-5)*E287^2.815*E284/E282),(1+1.105*10^(-5)*E287^2.815*E295/E282))</f>
        <v>1.040903698</v>
      </c>
      <c r="F298" s="100"/>
      <c r="P298" s="115">
        <f t="shared" ref="P298:Q298" si="382">+P297+1</f>
        <v>55</v>
      </c>
      <c r="Q298" s="115">
        <f t="shared" si="382"/>
        <v>54.5</v>
      </c>
      <c r="R298" s="115">
        <v>1.0</v>
      </c>
      <c r="S298" s="95">
        <f t="shared" si="330"/>
        <v>6</v>
      </c>
      <c r="T298" s="95">
        <f t="shared" si="331"/>
        <v>0</v>
      </c>
      <c r="U298" s="95">
        <f t="shared" si="332"/>
        <v>0</v>
      </c>
      <c r="V298" s="95">
        <f t="shared" si="333"/>
        <v>0</v>
      </c>
      <c r="W298" s="91">
        <f t="shared" si="334"/>
        <v>6</v>
      </c>
      <c r="X298" s="91">
        <f t="shared" si="335"/>
        <v>33.55478238</v>
      </c>
      <c r="Y298" s="101">
        <f t="shared" si="336"/>
        <v>201.3286943</v>
      </c>
      <c r="Z298" s="275">
        <f t="shared" si="337"/>
        <v>10972.41384</v>
      </c>
      <c r="AA298" s="272"/>
      <c r="AB298" s="276">
        <f t="shared" si="338"/>
        <v>13354.33078</v>
      </c>
      <c r="AC298" s="101">
        <f t="shared" si="339"/>
        <v>7354.781866</v>
      </c>
      <c r="AD298" s="101">
        <f>IF(ABS(AC298)&lt;Y298,SUM(Y$237:Y297)-AC298-SUM(Y298:Y351),0)</f>
        <v>0</v>
      </c>
      <c r="AF298" s="115">
        <f t="shared" si="344"/>
        <v>53</v>
      </c>
      <c r="AG298" s="131">
        <f t="shared" si="340"/>
        <v>0.7361111111</v>
      </c>
      <c r="AH298" s="90">
        <f t="shared" si="345"/>
        <v>16144.50759</v>
      </c>
      <c r="AI298" s="90">
        <f t="shared" si="346"/>
        <v>-283490.1597</v>
      </c>
      <c r="AJ298" s="90">
        <f t="shared" ref="AJ298:AK298" si="383">-AH298</f>
        <v>-16144.50759</v>
      </c>
      <c r="AK298" s="90">
        <f t="shared" si="383"/>
        <v>283490.1597</v>
      </c>
      <c r="AL298" s="101">
        <f t="shared" si="342"/>
        <v>-17.55954203</v>
      </c>
    </row>
    <row r="299" ht="12.75" hidden="1" customHeight="1">
      <c r="A299" s="68"/>
      <c r="B299" s="68"/>
      <c r="C299" s="68"/>
      <c r="D299" s="68"/>
      <c r="E299" s="68"/>
      <c r="F299" s="68"/>
      <c r="P299" s="115">
        <f t="shared" ref="P299:Q299" si="384">+P298+1</f>
        <v>56</v>
      </c>
      <c r="Q299" s="115">
        <f t="shared" si="384"/>
        <v>55.5</v>
      </c>
      <c r="R299" s="115">
        <v>1.0</v>
      </c>
      <c r="S299" s="95">
        <f t="shared" si="330"/>
        <v>6</v>
      </c>
      <c r="T299" s="95">
        <f t="shared" si="331"/>
        <v>0</v>
      </c>
      <c r="U299" s="95">
        <f t="shared" si="332"/>
        <v>0</v>
      </c>
      <c r="V299" s="95">
        <f t="shared" si="333"/>
        <v>0</v>
      </c>
      <c r="W299" s="91">
        <f t="shared" si="334"/>
        <v>6</v>
      </c>
      <c r="X299" s="91">
        <f t="shared" si="335"/>
        <v>34.10165893</v>
      </c>
      <c r="Y299" s="101">
        <f t="shared" si="336"/>
        <v>204.6099536</v>
      </c>
      <c r="Z299" s="275">
        <f t="shared" si="337"/>
        <v>11355.85242</v>
      </c>
      <c r="AA299" s="272"/>
      <c r="AB299" s="276">
        <f t="shared" si="338"/>
        <v>13776.5899</v>
      </c>
      <c r="AC299" s="101">
        <f t="shared" si="339"/>
        <v>7648.497138</v>
      </c>
      <c r="AD299" s="101">
        <f>IF(ABS(AC299)&lt;Y299,SUM(Y$237:Y298)-AC299-SUM(Y299:Y351),0)</f>
        <v>0</v>
      </c>
      <c r="AF299" s="115">
        <f t="shared" si="344"/>
        <v>54</v>
      </c>
      <c r="AG299" s="131">
        <f t="shared" si="340"/>
        <v>0.75</v>
      </c>
      <c r="AH299" s="90">
        <f t="shared" si="345"/>
        <v>16547.16498</v>
      </c>
      <c r="AI299" s="90">
        <f t="shared" si="346"/>
        <v>-305434.9874</v>
      </c>
      <c r="AJ299" s="90">
        <f t="shared" ref="AJ299:AK299" si="385">-AH299</f>
        <v>-16547.16498</v>
      </c>
      <c r="AK299" s="90">
        <f t="shared" si="385"/>
        <v>305434.9874</v>
      </c>
      <c r="AL299" s="101">
        <f t="shared" si="342"/>
        <v>-18.45844818</v>
      </c>
    </row>
    <row r="300" ht="12.75" hidden="1" customHeight="1">
      <c r="A300" s="70" t="s">
        <v>971</v>
      </c>
      <c r="B300" s="13" t="s">
        <v>972</v>
      </c>
      <c r="C300" s="15" t="s">
        <v>973</v>
      </c>
      <c r="D300" s="66" t="s">
        <v>448</v>
      </c>
      <c r="E300" s="131">
        <f>IF((1.2*E284/E282&lt;9),(1.2*E284/E282),9)</f>
        <v>0.2</v>
      </c>
      <c r="F300" s="15"/>
      <c r="P300" s="115">
        <f t="shared" ref="P300:Q300" si="386">+P299+1</f>
        <v>57</v>
      </c>
      <c r="Q300" s="115">
        <f t="shared" si="386"/>
        <v>56.5</v>
      </c>
      <c r="R300" s="115">
        <v>1.0</v>
      </c>
      <c r="S300" s="95">
        <f t="shared" si="330"/>
        <v>6</v>
      </c>
      <c r="T300" s="95">
        <f t="shared" si="331"/>
        <v>0</v>
      </c>
      <c r="U300" s="95">
        <f t="shared" si="332"/>
        <v>0</v>
      </c>
      <c r="V300" s="95">
        <f t="shared" si="333"/>
        <v>0</v>
      </c>
      <c r="W300" s="91">
        <f t="shared" si="334"/>
        <v>6</v>
      </c>
      <c r="X300" s="91">
        <f t="shared" si="335"/>
        <v>34.64853547</v>
      </c>
      <c r="Y300" s="101">
        <f t="shared" si="336"/>
        <v>207.8912128</v>
      </c>
      <c r="Z300" s="275">
        <f t="shared" si="337"/>
        <v>11745.85353</v>
      </c>
      <c r="AA300" s="272"/>
      <c r="AB300" s="276">
        <f t="shared" si="338"/>
        <v>14205.41154</v>
      </c>
      <c r="AC300" s="101">
        <f t="shared" si="339"/>
        <v>7946.070838</v>
      </c>
      <c r="AD300" s="101">
        <f>IF(ABS(AC300)&lt;Y300,SUM(Y$237:Y299)-AC300-SUM(Y300:Y351),0)</f>
        <v>0</v>
      </c>
      <c r="AF300" s="115">
        <f t="shared" si="344"/>
        <v>55</v>
      </c>
      <c r="AG300" s="131">
        <f t="shared" si="340"/>
        <v>0.7638888889</v>
      </c>
      <c r="AH300" s="90">
        <f t="shared" si="345"/>
        <v>16956.38489</v>
      </c>
      <c r="AI300" s="90">
        <f t="shared" si="346"/>
        <v>-328146.6922</v>
      </c>
      <c r="AJ300" s="90">
        <f t="shared" ref="AJ300:AK300" si="387">-AH300</f>
        <v>-16956.38489</v>
      </c>
      <c r="AK300" s="90">
        <f t="shared" si="387"/>
        <v>328146.6922</v>
      </c>
      <c r="AL300" s="101">
        <f t="shared" si="342"/>
        <v>-19.35239701</v>
      </c>
    </row>
    <row r="301" ht="12.75" hidden="1" customHeight="1">
      <c r="A301" s="96" t="s">
        <v>348</v>
      </c>
      <c r="B301" s="15" t="s">
        <v>974</v>
      </c>
      <c r="C301" s="15" t="s">
        <v>975</v>
      </c>
      <c r="D301" s="66" t="s">
        <v>421</v>
      </c>
      <c r="E301" s="90">
        <f>MAX(E302:E307)</f>
        <v>2279.6235</v>
      </c>
      <c r="F301" s="94" t="s">
        <v>976</v>
      </c>
      <c r="P301" s="115">
        <f t="shared" ref="P301:Q301" si="388">+P300+1</f>
        <v>58</v>
      </c>
      <c r="Q301" s="115">
        <f t="shared" si="388"/>
        <v>57.5</v>
      </c>
      <c r="R301" s="115">
        <v>1.0</v>
      </c>
      <c r="S301" s="95">
        <f t="shared" si="330"/>
        <v>6</v>
      </c>
      <c r="T301" s="95">
        <f t="shared" si="331"/>
        <v>0</v>
      </c>
      <c r="U301" s="95">
        <f t="shared" si="332"/>
        <v>0</v>
      </c>
      <c r="V301" s="95">
        <f t="shared" si="333"/>
        <v>0</v>
      </c>
      <c r="W301" s="91">
        <f t="shared" si="334"/>
        <v>6</v>
      </c>
      <c r="X301" s="91">
        <f t="shared" si="335"/>
        <v>35.19541202</v>
      </c>
      <c r="Y301" s="101">
        <f t="shared" si="336"/>
        <v>211.1724721</v>
      </c>
      <c r="Z301" s="275">
        <f t="shared" si="337"/>
        <v>12142.41715</v>
      </c>
      <c r="AA301" s="272"/>
      <c r="AB301" s="276">
        <f t="shared" si="338"/>
        <v>14640.79569</v>
      </c>
      <c r="AC301" s="101">
        <f t="shared" si="339"/>
        <v>8247.525319</v>
      </c>
      <c r="AD301" s="101">
        <f>IF(ABS(AC301)&lt;Y301,SUM(Y$237:Y300)-AC301-SUM(Y301:Y351),0)</f>
        <v>0</v>
      </c>
      <c r="AF301" s="115">
        <f t="shared" si="344"/>
        <v>56</v>
      </c>
      <c r="AG301" s="131">
        <f t="shared" si="340"/>
        <v>0.7777777778</v>
      </c>
      <c r="AH301" s="90">
        <f t="shared" si="345"/>
        <v>17372.16731</v>
      </c>
      <c r="AI301" s="90">
        <f t="shared" si="346"/>
        <v>-351638.3992</v>
      </c>
      <c r="AJ301" s="90">
        <f t="shared" ref="AJ301:AK301" si="389">-AH301</f>
        <v>-17372.16731</v>
      </c>
      <c r="AK301" s="90">
        <f t="shared" si="389"/>
        <v>351638.3992</v>
      </c>
      <c r="AL301" s="101">
        <f t="shared" si="342"/>
        <v>-20.24148127</v>
      </c>
    </row>
    <row r="302" ht="12.75" hidden="1" customHeight="1">
      <c r="A302" s="79"/>
      <c r="B302" s="15" t="s">
        <v>977</v>
      </c>
      <c r="C302" s="309" t="s">
        <v>978</v>
      </c>
      <c r="D302" s="66" t="s">
        <v>421</v>
      </c>
      <c r="E302" s="90">
        <f>IF(AND(E$288&lt;0.001,E$283&lt;0.001,E$295&gt;E$284),E$294*E$284*(3.1416*E$284*E$298*E$282*E$297*(TAN(E$1287*3.1416/180))/2+E$282*E$282*3.1416/4-E$285),0)</f>
        <v>2279.6235</v>
      </c>
      <c r="F302" s="15" t="s">
        <v>979</v>
      </c>
      <c r="P302" s="115">
        <f t="shared" ref="P302:Q302" si="390">+P301+1</f>
        <v>59</v>
      </c>
      <c r="Q302" s="115">
        <f t="shared" si="390"/>
        <v>58.5</v>
      </c>
      <c r="R302" s="115">
        <v>1.0</v>
      </c>
      <c r="S302" s="95">
        <f t="shared" si="330"/>
        <v>6</v>
      </c>
      <c r="T302" s="95">
        <f t="shared" si="331"/>
        <v>0</v>
      </c>
      <c r="U302" s="95">
        <f t="shared" si="332"/>
        <v>0</v>
      </c>
      <c r="V302" s="95">
        <f t="shared" si="333"/>
        <v>0</v>
      </c>
      <c r="W302" s="91">
        <f t="shared" si="334"/>
        <v>6</v>
      </c>
      <c r="X302" s="91">
        <f t="shared" si="335"/>
        <v>35.74228857</v>
      </c>
      <c r="Y302" s="101">
        <f t="shared" si="336"/>
        <v>214.4537314</v>
      </c>
      <c r="Z302" s="275">
        <f t="shared" si="337"/>
        <v>12545.54329</v>
      </c>
      <c r="AA302" s="272"/>
      <c r="AB302" s="276">
        <f t="shared" si="338"/>
        <v>15082.74236</v>
      </c>
      <c r="AC302" s="101">
        <f t="shared" si="339"/>
        <v>8552.881663</v>
      </c>
      <c r="AD302" s="101">
        <f>IF(ABS(AC302)&lt;Y302,SUM(Y$237:Y301)-AC302-SUM(Y302:Y351),0)</f>
        <v>0</v>
      </c>
      <c r="AF302" s="115">
        <f t="shared" si="344"/>
        <v>57</v>
      </c>
      <c r="AG302" s="131">
        <f t="shared" si="340"/>
        <v>0.7916666667</v>
      </c>
      <c r="AH302" s="90">
        <f t="shared" si="345"/>
        <v>17794.51226</v>
      </c>
      <c r="AI302" s="90">
        <f t="shared" si="346"/>
        <v>-375923.2335</v>
      </c>
      <c r="AJ302" s="90">
        <f t="shared" ref="AJ302:AK302" si="391">-AH302</f>
        <v>-17794.51226</v>
      </c>
      <c r="AK302" s="90">
        <f t="shared" si="391"/>
        <v>375923.2335</v>
      </c>
      <c r="AL302" s="101">
        <f t="shared" si="342"/>
        <v>-21.12579587</v>
      </c>
    </row>
    <row r="303" ht="12.75" hidden="1" customHeight="1">
      <c r="A303" s="79"/>
      <c r="B303" s="15" t="s">
        <v>980</v>
      </c>
      <c r="C303" s="309" t="s">
        <v>981</v>
      </c>
      <c r="D303" s="66" t="s">
        <v>421</v>
      </c>
      <c r="E303" s="90">
        <f>IF(AND(E$288&lt;0.001,E$283&gt;0.1,E$295&gt;E$284),E$294*E$284*(E$284*(2*E$298*E$282+E$283-E$282)*E$297*(TAN(E$287*3.1416/180))+E$282*E$283-E$285),0)</f>
        <v>0</v>
      </c>
      <c r="F303" s="15" t="s">
        <v>979</v>
      </c>
      <c r="P303" s="115">
        <f t="shared" ref="P303:Q303" si="392">+P302+1</f>
        <v>60</v>
      </c>
      <c r="Q303" s="115">
        <f t="shared" si="392"/>
        <v>59.5</v>
      </c>
      <c r="R303" s="115">
        <v>1.0</v>
      </c>
      <c r="S303" s="95">
        <f t="shared" si="330"/>
        <v>6</v>
      </c>
      <c r="T303" s="95">
        <f t="shared" si="331"/>
        <v>0</v>
      </c>
      <c r="U303" s="95">
        <f t="shared" si="332"/>
        <v>0</v>
      </c>
      <c r="V303" s="95">
        <f t="shared" si="333"/>
        <v>0</v>
      </c>
      <c r="W303" s="91">
        <f t="shared" si="334"/>
        <v>6</v>
      </c>
      <c r="X303" s="91">
        <f t="shared" si="335"/>
        <v>36.28916511</v>
      </c>
      <c r="Y303" s="101">
        <f t="shared" si="336"/>
        <v>217.7349907</v>
      </c>
      <c r="Z303" s="275">
        <f t="shared" si="337"/>
        <v>12955.23195</v>
      </c>
      <c r="AA303" s="272"/>
      <c r="AB303" s="276">
        <f t="shared" si="338"/>
        <v>15531.25155</v>
      </c>
      <c r="AC303" s="101">
        <f t="shared" si="339"/>
        <v>8862.15977</v>
      </c>
      <c r="AD303" s="101">
        <f>IF(ABS(AC303)&lt;Y303,SUM(Y$237:Y302)-AC303-SUM(Y303:Y351),0)</f>
        <v>0</v>
      </c>
      <c r="AF303" s="115">
        <f t="shared" si="344"/>
        <v>58</v>
      </c>
      <c r="AG303" s="131">
        <f t="shared" si="340"/>
        <v>0.8055555556</v>
      </c>
      <c r="AH303" s="90">
        <f t="shared" si="345"/>
        <v>18223.41972</v>
      </c>
      <c r="AI303" s="90">
        <f t="shared" si="346"/>
        <v>-401014.3201</v>
      </c>
      <c r="AJ303" s="90">
        <f t="shared" ref="AJ303:AK303" si="393">-AH303</f>
        <v>-18223.41972</v>
      </c>
      <c r="AK303" s="90">
        <f t="shared" si="393"/>
        <v>401014.3201</v>
      </c>
      <c r="AL303" s="101">
        <f t="shared" si="342"/>
        <v>-22.0054373</v>
      </c>
    </row>
    <row r="304" ht="12.75" hidden="1" customHeight="1">
      <c r="A304" s="79"/>
      <c r="B304" s="15" t="s">
        <v>982</v>
      </c>
      <c r="C304" s="309" t="s">
        <v>983</v>
      </c>
      <c r="D304" s="66" t="s">
        <v>421</v>
      </c>
      <c r="E304" s="90">
        <f>IF(AND(E$288&lt;0.001,E$283&lt;0.001,E$295&lt;E$284),E$294*(E$295*3.1416*(E$284-E$295/2)*E$298*E$282*E$297*(TAN(E$287*3.1416/180))+E$284*E$282*E$282*3.1416/4-E$284*E$285),0)</f>
        <v>0</v>
      </c>
      <c r="F304" s="15" t="s">
        <v>984</v>
      </c>
      <c r="P304" s="115">
        <f t="shared" ref="P304:Q304" si="394">+P303+1</f>
        <v>61</v>
      </c>
      <c r="Q304" s="115">
        <f t="shared" si="394"/>
        <v>60.5</v>
      </c>
      <c r="R304" s="115">
        <v>1.0</v>
      </c>
      <c r="S304" s="95">
        <f t="shared" si="330"/>
        <v>6</v>
      </c>
      <c r="T304" s="95">
        <f t="shared" si="331"/>
        <v>0</v>
      </c>
      <c r="U304" s="95">
        <f t="shared" si="332"/>
        <v>0</v>
      </c>
      <c r="V304" s="95">
        <f t="shared" si="333"/>
        <v>0</v>
      </c>
      <c r="W304" s="91">
        <f t="shared" si="334"/>
        <v>6</v>
      </c>
      <c r="X304" s="91">
        <f t="shared" si="335"/>
        <v>36.83604166</v>
      </c>
      <c r="Y304" s="101">
        <f t="shared" si="336"/>
        <v>221.01625</v>
      </c>
      <c r="Z304" s="275">
        <f t="shared" si="337"/>
        <v>13371.48312</v>
      </c>
      <c r="AA304" s="272"/>
      <c r="AB304" s="276">
        <f t="shared" si="338"/>
        <v>15986.32326</v>
      </c>
      <c r="AC304" s="101">
        <f t="shared" si="339"/>
        <v>9175.378437</v>
      </c>
      <c r="AD304" s="101">
        <f>IF(ABS(AC304)&lt;Y304,SUM(Y$237:Y303)-AC304-SUM(Y304:Y351),0)</f>
        <v>0</v>
      </c>
      <c r="AF304" s="115">
        <f t="shared" si="344"/>
        <v>59</v>
      </c>
      <c r="AG304" s="131">
        <f t="shared" si="340"/>
        <v>0.8194444444</v>
      </c>
      <c r="AH304" s="90">
        <f t="shared" si="345"/>
        <v>18658.8897</v>
      </c>
      <c r="AI304" s="90">
        <f t="shared" si="346"/>
        <v>-426924.784</v>
      </c>
      <c r="AJ304" s="90">
        <f t="shared" ref="AJ304:AK304" si="395">-AH304</f>
        <v>-18658.8897</v>
      </c>
      <c r="AK304" s="90">
        <f t="shared" si="395"/>
        <v>426924.784</v>
      </c>
      <c r="AL304" s="101">
        <f t="shared" si="342"/>
        <v>-22.88050312</v>
      </c>
    </row>
    <row r="305" ht="12.75" hidden="1" customHeight="1">
      <c r="A305" s="79"/>
      <c r="B305" s="15" t="s">
        <v>985</v>
      </c>
      <c r="C305" s="309" t="s">
        <v>986</v>
      </c>
      <c r="D305" s="66" t="s">
        <v>421</v>
      </c>
      <c r="E305" s="90">
        <f>IF(AND(E$288&lt;0.001,E$283&gt;0.1,E$295&lt;E$284),E$294*(E$295*(2*E$284-E$295)*(2*E$298*E$282+E$283-E$282)*E$297*(TAN(E$287*3.1416/180))+E$284*E$282*E$283-E$284*E$285),0)</f>
        <v>0</v>
      </c>
      <c r="F305" s="15" t="s">
        <v>984</v>
      </c>
      <c r="P305" s="115">
        <f t="shared" ref="P305:Q305" si="396">+P304+1</f>
        <v>62</v>
      </c>
      <c r="Q305" s="115">
        <f t="shared" si="396"/>
        <v>61.5</v>
      </c>
      <c r="R305" s="115">
        <v>1.0</v>
      </c>
      <c r="S305" s="95">
        <f t="shared" si="330"/>
        <v>6</v>
      </c>
      <c r="T305" s="95">
        <f t="shared" si="331"/>
        <v>0</v>
      </c>
      <c r="U305" s="95">
        <f t="shared" si="332"/>
        <v>0</v>
      </c>
      <c r="V305" s="95">
        <f t="shared" si="333"/>
        <v>0</v>
      </c>
      <c r="W305" s="91">
        <f t="shared" si="334"/>
        <v>6</v>
      </c>
      <c r="X305" s="91">
        <f t="shared" si="335"/>
        <v>37.38291821</v>
      </c>
      <c r="Y305" s="101">
        <f t="shared" si="336"/>
        <v>224.2975092</v>
      </c>
      <c r="Z305" s="275">
        <f t="shared" si="337"/>
        <v>13794.29682</v>
      </c>
      <c r="AA305" s="272"/>
      <c r="AB305" s="276">
        <f t="shared" si="338"/>
        <v>16447.95749</v>
      </c>
      <c r="AC305" s="101">
        <f t="shared" si="339"/>
        <v>9492.55544</v>
      </c>
      <c r="AD305" s="101">
        <f>IF(ABS(AC305)&lt;Y305,SUM(Y$237:Y304)-AC305-SUM(Y305:Y351),0)</f>
        <v>0</v>
      </c>
      <c r="AF305" s="115">
        <f t="shared" si="344"/>
        <v>60</v>
      </c>
      <c r="AG305" s="131">
        <f t="shared" si="340"/>
        <v>0.8333333333</v>
      </c>
      <c r="AH305" s="90">
        <f t="shared" si="345"/>
        <v>19100.9222</v>
      </c>
      <c r="AI305" s="90">
        <f t="shared" si="346"/>
        <v>-453667.7502</v>
      </c>
      <c r="AJ305" s="90">
        <f t="shared" ref="AJ305:AK305" si="397">-AH305</f>
        <v>-19100.9222</v>
      </c>
      <c r="AK305" s="90">
        <f t="shared" si="397"/>
        <v>453667.7502</v>
      </c>
      <c r="AL305" s="101">
        <f t="shared" si="342"/>
        <v>-23.75109146</v>
      </c>
    </row>
    <row r="306" ht="12.75" hidden="1" customHeight="1">
      <c r="A306" s="79"/>
      <c r="B306" s="15" t="s">
        <v>987</v>
      </c>
      <c r="C306" s="309" t="s">
        <v>988</v>
      </c>
      <c r="D306" s="66" t="s">
        <v>421</v>
      </c>
      <c r="E306" s="90">
        <f>IF(AND(E$287&lt;0.001,E$283&lt;0.01),E$294*E$284*(E$282*E$282*3.1416/4-E$285)+E$300*E$288*E$282*E$282*3.1416/4,0)</f>
        <v>0</v>
      </c>
      <c r="F306" s="15" t="s">
        <v>989</v>
      </c>
      <c r="P306" s="115">
        <f t="shared" ref="P306:Q306" si="398">+P305+1</f>
        <v>63</v>
      </c>
      <c r="Q306" s="115">
        <f t="shared" si="398"/>
        <v>62.5</v>
      </c>
      <c r="R306" s="115">
        <v>1.0</v>
      </c>
      <c r="S306" s="95">
        <f t="shared" si="330"/>
        <v>6</v>
      </c>
      <c r="T306" s="95">
        <f t="shared" si="331"/>
        <v>0</v>
      </c>
      <c r="U306" s="95">
        <f t="shared" si="332"/>
        <v>0</v>
      </c>
      <c r="V306" s="95">
        <f t="shared" si="333"/>
        <v>0</v>
      </c>
      <c r="W306" s="91">
        <f t="shared" si="334"/>
        <v>6</v>
      </c>
      <c r="X306" s="91">
        <f t="shared" si="335"/>
        <v>37.92979475</v>
      </c>
      <c r="Y306" s="101">
        <f t="shared" si="336"/>
        <v>227.5787685</v>
      </c>
      <c r="Z306" s="275">
        <f t="shared" si="337"/>
        <v>14223.67303</v>
      </c>
      <c r="AA306" s="272"/>
      <c r="AB306" s="276">
        <f t="shared" si="338"/>
        <v>16916.15424</v>
      </c>
      <c r="AC306" s="101">
        <f t="shared" si="339"/>
        <v>9813.707595</v>
      </c>
      <c r="AD306" s="101">
        <f>IF(ABS(AC306)&lt;Y306,SUM(Y$237:Y305)-AC306-SUM(Y306:Y351),0)</f>
        <v>0</v>
      </c>
      <c r="AF306" s="115">
        <f t="shared" si="344"/>
        <v>61</v>
      </c>
      <c r="AG306" s="131">
        <f t="shared" si="340"/>
        <v>0.8472222222</v>
      </c>
      <c r="AH306" s="90">
        <f t="shared" si="345"/>
        <v>19549.51722</v>
      </c>
      <c r="AI306" s="90">
        <f t="shared" si="346"/>
        <v>-481256.3439</v>
      </c>
      <c r="AJ306" s="90">
        <f t="shared" ref="AJ306:AK306" si="399">-AH306</f>
        <v>-19549.51722</v>
      </c>
      <c r="AK306" s="90">
        <f t="shared" si="399"/>
        <v>481256.3439</v>
      </c>
      <c r="AL306" s="101">
        <f t="shared" si="342"/>
        <v>-24.6173007</v>
      </c>
    </row>
    <row r="307" ht="12.75" hidden="1" customHeight="1">
      <c r="A307" s="68"/>
      <c r="B307" s="15" t="s">
        <v>990</v>
      </c>
      <c r="C307" s="309" t="s">
        <v>991</v>
      </c>
      <c r="D307" s="66" t="s">
        <v>421</v>
      </c>
      <c r="E307" s="90">
        <f>IF(AND(E$1287&lt;0.001,E$283&gt;0.1),E$294*E$284*(E$282*E$283-E$285)+E$300*E$288*E$282*E$283,0)</f>
        <v>0</v>
      </c>
      <c r="F307" s="15" t="s">
        <v>989</v>
      </c>
      <c r="P307" s="115">
        <f t="shared" ref="P307:Q307" si="400">+P306+1</f>
        <v>64</v>
      </c>
      <c r="Q307" s="115">
        <f t="shared" si="400"/>
        <v>63.5</v>
      </c>
      <c r="R307" s="115">
        <v>1.0</v>
      </c>
      <c r="S307" s="95">
        <f t="shared" si="330"/>
        <v>6</v>
      </c>
      <c r="T307" s="95">
        <f t="shared" si="331"/>
        <v>0</v>
      </c>
      <c r="U307" s="95">
        <f t="shared" si="332"/>
        <v>0</v>
      </c>
      <c r="V307" s="95">
        <f t="shared" si="333"/>
        <v>0</v>
      </c>
      <c r="W307" s="91">
        <f t="shared" si="334"/>
        <v>6</v>
      </c>
      <c r="X307" s="91">
        <f t="shared" si="335"/>
        <v>38.4766713</v>
      </c>
      <c r="Y307" s="101">
        <f t="shared" si="336"/>
        <v>230.8600278</v>
      </c>
      <c r="Z307" s="275">
        <f t="shared" si="337"/>
        <v>14659.61176</v>
      </c>
      <c r="AA307" s="272"/>
      <c r="AB307" s="276">
        <f t="shared" si="338"/>
        <v>17390.9135</v>
      </c>
      <c r="AC307" s="101">
        <f t="shared" si="339"/>
        <v>10138.85083</v>
      </c>
      <c r="AD307" s="101">
        <f>IF(ABS(AC307)&lt;Y307,SUM(Y$237:Y306)-AC307-SUM(Y307:Y351),0)</f>
        <v>0</v>
      </c>
      <c r="AF307" s="115">
        <f t="shared" si="344"/>
        <v>62</v>
      </c>
      <c r="AG307" s="131">
        <f t="shared" si="340"/>
        <v>0.8611111111</v>
      </c>
      <c r="AH307" s="90">
        <f t="shared" si="345"/>
        <v>20004.67476</v>
      </c>
      <c r="AI307" s="90">
        <f t="shared" si="346"/>
        <v>-509703.6899</v>
      </c>
      <c r="AJ307" s="90">
        <f t="shared" ref="AJ307:AK307" si="401">-AH307</f>
        <v>-20004.67476</v>
      </c>
      <c r="AK307" s="90">
        <f t="shared" si="401"/>
        <v>509703.6899</v>
      </c>
      <c r="AL307" s="101">
        <f t="shared" si="342"/>
        <v>-25.47922904</v>
      </c>
    </row>
    <row r="308" ht="12.75" hidden="1" customHeight="1">
      <c r="A308" s="70" t="s">
        <v>992</v>
      </c>
      <c r="B308" s="15" t="s">
        <v>993</v>
      </c>
      <c r="C308" s="94" t="s">
        <v>994</v>
      </c>
      <c r="D308" s="66" t="s">
        <v>421</v>
      </c>
      <c r="E308" s="90">
        <f>+E296*E286+E301/E292</f>
        <v>5176.385646</v>
      </c>
      <c r="F308" s="15" t="s">
        <v>995</v>
      </c>
      <c r="P308" s="115">
        <f t="shared" ref="P308:Q308" si="402">+P307+1</f>
        <v>65</v>
      </c>
      <c r="Q308" s="115">
        <f t="shared" si="402"/>
        <v>64.5</v>
      </c>
      <c r="R308" s="115">
        <v>1.0</v>
      </c>
      <c r="S308" s="95">
        <f t="shared" si="330"/>
        <v>6</v>
      </c>
      <c r="T308" s="95">
        <f t="shared" si="331"/>
        <v>0</v>
      </c>
      <c r="U308" s="95">
        <f t="shared" si="332"/>
        <v>0</v>
      </c>
      <c r="V308" s="95">
        <f t="shared" si="333"/>
        <v>0</v>
      </c>
      <c r="W308" s="91">
        <f t="shared" si="334"/>
        <v>6</v>
      </c>
      <c r="X308" s="91">
        <f t="shared" si="335"/>
        <v>39.02354784</v>
      </c>
      <c r="Y308" s="101">
        <f t="shared" si="336"/>
        <v>234.1412871</v>
      </c>
      <c r="Z308" s="275">
        <f t="shared" si="337"/>
        <v>15102.11302</v>
      </c>
      <c r="AA308" s="272"/>
      <c r="AB308" s="276">
        <f t="shared" si="338"/>
        <v>17872.23529</v>
      </c>
      <c r="AC308" s="101">
        <f t="shared" si="339"/>
        <v>10468.00022</v>
      </c>
      <c r="AD308" s="101">
        <f>IF(ABS(AC308)&lt;Y308,SUM(Y$237:Y307)-AC308-SUM(Y308:Y351),0)</f>
        <v>0</v>
      </c>
      <c r="AF308" s="115">
        <f t="shared" si="344"/>
        <v>63</v>
      </c>
      <c r="AG308" s="131">
        <f t="shared" si="340"/>
        <v>0.875</v>
      </c>
      <c r="AH308" s="90">
        <f t="shared" si="345"/>
        <v>20466.39481</v>
      </c>
      <c r="AI308" s="90">
        <f t="shared" si="346"/>
        <v>-539022.9135</v>
      </c>
      <c r="AJ308" s="90">
        <f t="shared" ref="AJ308:AK308" si="403">-AH308</f>
        <v>-20466.39481</v>
      </c>
      <c r="AK308" s="90">
        <f t="shared" si="403"/>
        <v>539022.9135</v>
      </c>
      <c r="AL308" s="101">
        <f t="shared" si="342"/>
        <v>-26.33697426</v>
      </c>
    </row>
    <row r="309" ht="12.75" hidden="1" customHeight="1">
      <c r="A309" s="70" t="s">
        <v>996</v>
      </c>
      <c r="B309" s="15" t="s">
        <v>997</v>
      </c>
      <c r="C309" s="94" t="s">
        <v>998</v>
      </c>
      <c r="D309" s="98" t="s">
        <v>421</v>
      </c>
      <c r="E309" s="295">
        <f>+E296*E286+E291*E301</f>
        <v>5518.329171</v>
      </c>
      <c r="F309" s="100" t="s">
        <v>999</v>
      </c>
      <c r="P309" s="115">
        <f t="shared" ref="P309:Q309" si="404">+P308+1</f>
        <v>66</v>
      </c>
      <c r="Q309" s="115">
        <f t="shared" si="404"/>
        <v>65.5</v>
      </c>
      <c r="R309" s="115">
        <v>1.0</v>
      </c>
      <c r="S309" s="95">
        <f t="shared" si="330"/>
        <v>6</v>
      </c>
      <c r="T309" s="95">
        <f t="shared" si="331"/>
        <v>0</v>
      </c>
      <c r="U309" s="95">
        <f t="shared" si="332"/>
        <v>0</v>
      </c>
      <c r="V309" s="95">
        <f t="shared" si="333"/>
        <v>0</v>
      </c>
      <c r="W309" s="91">
        <f t="shared" si="334"/>
        <v>6</v>
      </c>
      <c r="X309" s="91">
        <f t="shared" si="335"/>
        <v>39.57042439</v>
      </c>
      <c r="Y309" s="101">
        <f t="shared" si="336"/>
        <v>237.4225463</v>
      </c>
      <c r="Z309" s="275">
        <f t="shared" si="337"/>
        <v>15551.17679</v>
      </c>
      <c r="AA309" s="272"/>
      <c r="AB309" s="276">
        <f t="shared" si="338"/>
        <v>18360.11959</v>
      </c>
      <c r="AC309" s="101">
        <f t="shared" si="339"/>
        <v>10801.17009</v>
      </c>
      <c r="AD309" s="101">
        <f>IF(ABS(AC309)&lt;Y309,SUM(Y$237:Y308)-AC309-SUM(Y309:Y351),0)</f>
        <v>0</v>
      </c>
      <c r="AF309" s="115">
        <f t="shared" si="344"/>
        <v>64</v>
      </c>
      <c r="AG309" s="131">
        <f t="shared" si="340"/>
        <v>0.8888888889</v>
      </c>
      <c r="AH309" s="90">
        <f t="shared" si="345"/>
        <v>20934.67739</v>
      </c>
      <c r="AI309" s="90">
        <f t="shared" si="346"/>
        <v>-569227.1395</v>
      </c>
      <c r="AJ309" s="90">
        <f t="shared" ref="AJ309:AK309" si="405">-AH309</f>
        <v>-20934.67739</v>
      </c>
      <c r="AK309" s="90">
        <f t="shared" si="405"/>
        <v>569227.1395</v>
      </c>
      <c r="AL309" s="101">
        <f t="shared" si="342"/>
        <v>-27.19063346</v>
      </c>
    </row>
    <row r="310" ht="12.75" customHeight="1">
      <c r="A310" s="104" t="s">
        <v>491</v>
      </c>
      <c r="B310" s="3"/>
      <c r="C310" s="297" t="str">
        <f>IF(AND(E308&gt;E289,E309&gt;E290),"Yes","NO")</f>
        <v>Yes</v>
      </c>
      <c r="D310" s="310"/>
      <c r="E310" s="177"/>
      <c r="F310" s="20"/>
      <c r="P310" s="115">
        <f t="shared" ref="P310:Q310" si="406">+P309+1</f>
        <v>67</v>
      </c>
      <c r="Q310" s="115">
        <f t="shared" si="406"/>
        <v>66.5</v>
      </c>
      <c r="R310" s="115">
        <v>1.0</v>
      </c>
      <c r="S310" s="95">
        <f t="shared" si="330"/>
        <v>6</v>
      </c>
      <c r="T310" s="95">
        <f t="shared" si="331"/>
        <v>0</v>
      </c>
      <c r="U310" s="95">
        <f t="shared" si="332"/>
        <v>0</v>
      </c>
      <c r="V310" s="95">
        <f t="shared" si="333"/>
        <v>0</v>
      </c>
      <c r="W310" s="91">
        <f t="shared" si="334"/>
        <v>6</v>
      </c>
      <c r="X310" s="91">
        <f t="shared" si="335"/>
        <v>40.11730094</v>
      </c>
      <c r="Y310" s="101">
        <f t="shared" si="336"/>
        <v>240.7038056</v>
      </c>
      <c r="Z310" s="275">
        <f t="shared" si="337"/>
        <v>16006.80307</v>
      </c>
      <c r="AA310" s="272"/>
      <c r="AB310" s="276">
        <f t="shared" si="338"/>
        <v>18854.56641</v>
      </c>
      <c r="AC310" s="101">
        <f t="shared" si="339"/>
        <v>11138.37402</v>
      </c>
      <c r="AD310" s="101">
        <f>IF(ABS(AC310)&lt;Y310,SUM(Y$237:Y309)-AC310-SUM(Y310:Y351),0)</f>
        <v>0</v>
      </c>
      <c r="AF310" s="115">
        <f t="shared" si="344"/>
        <v>65</v>
      </c>
      <c r="AG310" s="131">
        <f t="shared" si="340"/>
        <v>0.9027777778</v>
      </c>
      <c r="AH310" s="90">
        <f t="shared" si="345"/>
        <v>21409.52248</v>
      </c>
      <c r="AI310" s="90">
        <f t="shared" si="346"/>
        <v>-600329.4931</v>
      </c>
      <c r="AJ310" s="90">
        <f t="shared" ref="AJ310:AK310" si="407">-AH310</f>
        <v>-21409.52248</v>
      </c>
      <c r="AK310" s="90">
        <f t="shared" si="407"/>
        <v>600329.4931</v>
      </c>
      <c r="AL310" s="101">
        <f t="shared" si="342"/>
        <v>-28.0403028</v>
      </c>
    </row>
    <row r="311" ht="12.75" customHeight="1">
      <c r="P311" s="115">
        <f t="shared" ref="P311:Q311" si="408">+P310+1</f>
        <v>68</v>
      </c>
      <c r="Q311" s="115">
        <f t="shared" si="408"/>
        <v>67.5</v>
      </c>
      <c r="R311" s="115">
        <v>1.0</v>
      </c>
      <c r="S311" s="95">
        <f t="shared" si="330"/>
        <v>6</v>
      </c>
      <c r="T311" s="95">
        <f t="shared" si="331"/>
        <v>0</v>
      </c>
      <c r="U311" s="95">
        <f t="shared" si="332"/>
        <v>0</v>
      </c>
      <c r="V311" s="95">
        <f t="shared" si="333"/>
        <v>0</v>
      </c>
      <c r="W311" s="91">
        <f t="shared" si="334"/>
        <v>6</v>
      </c>
      <c r="X311" s="91">
        <f t="shared" si="335"/>
        <v>40.66417748</v>
      </c>
      <c r="Y311" s="101">
        <f t="shared" si="336"/>
        <v>243.9850649</v>
      </c>
      <c r="Z311" s="275">
        <f t="shared" si="337"/>
        <v>16468.99188</v>
      </c>
      <c r="AA311" s="272"/>
      <c r="AB311" s="276">
        <f t="shared" si="338"/>
        <v>19355.57575</v>
      </c>
      <c r="AC311" s="101">
        <f t="shared" si="339"/>
        <v>11479.62489</v>
      </c>
      <c r="AD311" s="101">
        <f>IF(ABS(AC311)&lt;Y311,SUM(Y$237:Y310)-AC311-SUM(Y311:Y417),0)</f>
        <v>0</v>
      </c>
      <c r="AF311" s="115">
        <f t="shared" si="344"/>
        <v>66</v>
      </c>
      <c r="AG311" s="131">
        <f t="shared" si="340"/>
        <v>0.9166666667</v>
      </c>
      <c r="AH311" s="90">
        <f t="shared" si="345"/>
        <v>21890.93009</v>
      </c>
      <c r="AI311" s="90">
        <f t="shared" si="346"/>
        <v>-632343.0992</v>
      </c>
      <c r="AJ311" s="90">
        <f t="shared" ref="AJ311:AK311" si="409">-AH311</f>
        <v>-21890.93009</v>
      </c>
      <c r="AK311" s="90">
        <f t="shared" si="409"/>
        <v>632343.0992</v>
      </c>
      <c r="AL311" s="101">
        <f t="shared" si="342"/>
        <v>-28.88607732</v>
      </c>
    </row>
    <row r="312" ht="12.75" customHeight="1">
      <c r="P312" s="115">
        <f t="shared" ref="P312:Q312" si="410">+P311+1</f>
        <v>69</v>
      </c>
      <c r="Q312" s="115">
        <f t="shared" si="410"/>
        <v>68.5</v>
      </c>
      <c r="R312" s="115">
        <v>1.0</v>
      </c>
      <c r="S312" s="95">
        <f t="shared" si="330"/>
        <v>6</v>
      </c>
      <c r="T312" s="95">
        <f t="shared" si="331"/>
        <v>0</v>
      </c>
      <c r="U312" s="95">
        <f t="shared" si="332"/>
        <v>0</v>
      </c>
      <c r="V312" s="95">
        <f t="shared" si="333"/>
        <v>0</v>
      </c>
      <c r="W312" s="91">
        <f t="shared" si="334"/>
        <v>6</v>
      </c>
      <c r="X312" s="91">
        <f t="shared" si="335"/>
        <v>41.21105403</v>
      </c>
      <c r="Y312" s="101">
        <f t="shared" si="336"/>
        <v>247.2663242</v>
      </c>
      <c r="Z312" s="275">
        <f t="shared" si="337"/>
        <v>16937.74321</v>
      </c>
      <c r="AA312" s="272"/>
      <c r="AB312" s="276">
        <f t="shared" si="338"/>
        <v>19863.1476</v>
      </c>
      <c r="AC312" s="101">
        <f t="shared" si="339"/>
        <v>11824.93496</v>
      </c>
      <c r="AD312" s="101">
        <f>IF(ABS(AC312)&lt;Y312,SUM(Y$237:Y311)-AC312-SUM(Y312:Y351),0)</f>
        <v>0</v>
      </c>
      <c r="AF312" s="115">
        <f t="shared" si="344"/>
        <v>67</v>
      </c>
      <c r="AG312" s="131">
        <f t="shared" si="340"/>
        <v>0.9305555556</v>
      </c>
      <c r="AH312" s="90">
        <f t="shared" si="345"/>
        <v>22378.90022</v>
      </c>
      <c r="AI312" s="90">
        <f t="shared" si="346"/>
        <v>-665281.083</v>
      </c>
      <c r="AJ312" s="90">
        <f t="shared" ref="AJ312:AK312" si="411">-AH312</f>
        <v>-22378.90022</v>
      </c>
      <c r="AK312" s="90">
        <f t="shared" si="411"/>
        <v>665281.083</v>
      </c>
      <c r="AL312" s="101">
        <f t="shared" si="342"/>
        <v>-29.72805082</v>
      </c>
    </row>
    <row r="313" ht="12.75" hidden="1" customHeight="1">
      <c r="A313" s="284" t="s">
        <v>1000</v>
      </c>
      <c r="B313" s="311"/>
      <c r="C313" s="311"/>
      <c r="D313" s="285"/>
      <c r="E313" s="285"/>
      <c r="F313" s="285"/>
      <c r="G313" s="285"/>
      <c r="H313" s="285"/>
      <c r="I313" s="285"/>
      <c r="P313" s="115">
        <f t="shared" ref="P313:Q313" si="412">+P312+1</f>
        <v>70</v>
      </c>
      <c r="Q313" s="115">
        <f t="shared" si="412"/>
        <v>69.5</v>
      </c>
      <c r="R313" s="115">
        <v>1.0</v>
      </c>
      <c r="S313" s="95">
        <f t="shared" si="330"/>
        <v>6</v>
      </c>
      <c r="T313" s="95">
        <f t="shared" si="331"/>
        <v>0</v>
      </c>
      <c r="U313" s="95">
        <f t="shared" si="332"/>
        <v>0</v>
      </c>
      <c r="V313" s="95">
        <f t="shared" si="333"/>
        <v>0</v>
      </c>
      <c r="W313" s="91">
        <f t="shared" si="334"/>
        <v>6</v>
      </c>
      <c r="X313" s="91">
        <f t="shared" si="335"/>
        <v>41.75793058</v>
      </c>
      <c r="Y313" s="101">
        <f t="shared" si="336"/>
        <v>250.5475835</v>
      </c>
      <c r="Z313" s="275">
        <f t="shared" si="337"/>
        <v>17413.05705</v>
      </c>
      <c r="AA313" s="272"/>
      <c r="AB313" s="276">
        <f t="shared" si="338"/>
        <v>20377.28198</v>
      </c>
      <c r="AC313" s="101">
        <f t="shared" si="339"/>
        <v>12174.31588</v>
      </c>
      <c r="AD313" s="101">
        <f>IF(ABS(AC313)&lt;Y313,SUM(Y$237:Y312)-AC313-SUM(Y313:Y351),0)</f>
        <v>0</v>
      </c>
      <c r="AF313" s="115">
        <f t="shared" si="344"/>
        <v>68</v>
      </c>
      <c r="AG313" s="131">
        <f t="shared" si="340"/>
        <v>0.9444444444</v>
      </c>
      <c r="AH313" s="90">
        <f t="shared" si="345"/>
        <v>22873.43287</v>
      </c>
      <c r="AI313" s="90">
        <f t="shared" si="346"/>
        <v>-699156.5694</v>
      </c>
      <c r="AJ313" s="90">
        <f t="shared" ref="AJ313:AK313" si="413">-AH313</f>
        <v>-22873.43287</v>
      </c>
      <c r="AK313" s="90">
        <f t="shared" si="413"/>
        <v>699156.5694</v>
      </c>
      <c r="AL313" s="101">
        <f t="shared" si="342"/>
        <v>-30.56631566</v>
      </c>
    </row>
    <row r="314" ht="12.75" hidden="1" customHeight="1">
      <c r="P314" s="115">
        <f t="shared" ref="P314:Q314" si="414">+P313+1</f>
        <v>71</v>
      </c>
      <c r="Q314" s="115">
        <f t="shared" si="414"/>
        <v>70.5</v>
      </c>
      <c r="R314" s="115">
        <v>1.0</v>
      </c>
      <c r="S314" s="95">
        <f t="shared" si="330"/>
        <v>6</v>
      </c>
      <c r="T314" s="95">
        <f t="shared" si="331"/>
        <v>0</v>
      </c>
      <c r="U314" s="95">
        <f t="shared" si="332"/>
        <v>0</v>
      </c>
      <c r="V314" s="95">
        <f t="shared" si="333"/>
        <v>0</v>
      </c>
      <c r="W314" s="91">
        <f t="shared" si="334"/>
        <v>6</v>
      </c>
      <c r="X314" s="91">
        <f t="shared" si="335"/>
        <v>42.30480712</v>
      </c>
      <c r="Y314" s="101">
        <f t="shared" si="336"/>
        <v>253.8288427</v>
      </c>
      <c r="Z314" s="275">
        <f t="shared" si="337"/>
        <v>17894.93341</v>
      </c>
      <c r="AA314" s="272"/>
      <c r="AB314" s="276">
        <f t="shared" si="338"/>
        <v>20897.97888</v>
      </c>
      <c r="AC314" s="101">
        <f t="shared" si="339"/>
        <v>12527.77873</v>
      </c>
      <c r="AD314" s="101">
        <f>IF(ABS(AC314)&lt;Y314,SUM(Y$237:Y313)-AC314-SUM(Y314:Y351),0)</f>
        <v>0</v>
      </c>
      <c r="AF314" s="115">
        <f t="shared" si="344"/>
        <v>69</v>
      </c>
      <c r="AG314" s="131">
        <f t="shared" si="340"/>
        <v>0.9583333333</v>
      </c>
      <c r="AH314" s="90">
        <f t="shared" si="345"/>
        <v>23374.52804</v>
      </c>
      <c r="AI314" s="90">
        <f t="shared" si="346"/>
        <v>-733982.6835</v>
      </c>
      <c r="AJ314" s="90">
        <f t="shared" ref="AJ314:AK314" si="415">-AH314</f>
        <v>-23374.52804</v>
      </c>
      <c r="AK314" s="90">
        <f t="shared" si="415"/>
        <v>733982.6835</v>
      </c>
      <c r="AL314" s="101">
        <f t="shared" si="342"/>
        <v>-31.40096272</v>
      </c>
    </row>
    <row r="315" ht="12.75" hidden="1" customHeight="1">
      <c r="A315" s="161" t="s">
        <v>1001</v>
      </c>
      <c r="B315" s="161" t="s">
        <v>1002</v>
      </c>
      <c r="C315" s="161" t="s">
        <v>1003</v>
      </c>
      <c r="D315" s="254" t="s">
        <v>1004</v>
      </c>
      <c r="E315" s="2"/>
      <c r="F315" s="57"/>
      <c r="G315" s="312">
        <f>E32</f>
        <v>30</v>
      </c>
      <c r="H315" s="313"/>
      <c r="I315" s="314"/>
      <c r="P315" s="115">
        <f t="shared" ref="P315:Q315" si="416">+P314+1</f>
        <v>72</v>
      </c>
      <c r="Q315" s="115">
        <f t="shared" si="416"/>
        <v>71.5</v>
      </c>
      <c r="R315" s="115">
        <v>1.0</v>
      </c>
      <c r="S315" s="95">
        <f t="shared" si="330"/>
        <v>6</v>
      </c>
      <c r="T315" s="95">
        <f t="shared" si="331"/>
        <v>0</v>
      </c>
      <c r="U315" s="95">
        <f t="shared" si="332"/>
        <v>0</v>
      </c>
      <c r="V315" s="95">
        <f t="shared" si="333"/>
        <v>0</v>
      </c>
      <c r="W315" s="91">
        <f t="shared" si="334"/>
        <v>6</v>
      </c>
      <c r="X315" s="91">
        <f t="shared" si="335"/>
        <v>42.85168367</v>
      </c>
      <c r="Y315" s="101">
        <f t="shared" si="336"/>
        <v>257.110102</v>
      </c>
      <c r="Z315" s="275">
        <f t="shared" si="337"/>
        <v>18383.37229</v>
      </c>
      <c r="AA315" s="272"/>
      <c r="AB315" s="276">
        <f t="shared" si="338"/>
        <v>21425.23829</v>
      </c>
      <c r="AC315" s="101">
        <f t="shared" si="339"/>
        <v>12885.33407</v>
      </c>
      <c r="AD315" s="101">
        <f>IF(ABS(AC315)&lt;Y315,SUM(Y$237:Y314)-AC315-SUM(Y315:Y351),0)</f>
        <v>0</v>
      </c>
      <c r="AF315" s="115">
        <f t="shared" si="344"/>
        <v>70</v>
      </c>
      <c r="AG315" s="131">
        <f t="shared" si="340"/>
        <v>0.9722222222</v>
      </c>
      <c r="AH315" s="90">
        <f t="shared" si="345"/>
        <v>23882.18572</v>
      </c>
      <c r="AI315" s="90">
        <f t="shared" si="346"/>
        <v>-769772.5503</v>
      </c>
      <c r="AJ315" s="90">
        <f t="shared" ref="AJ315:AK315" si="417">-AH315</f>
        <v>-23882.18572</v>
      </c>
      <c r="AK315" s="90">
        <f t="shared" si="417"/>
        <v>769772.5503</v>
      </c>
      <c r="AL315" s="101">
        <f t="shared" si="342"/>
        <v>-32.23208124</v>
      </c>
    </row>
    <row r="316" ht="12.75" hidden="1" customHeight="1">
      <c r="A316" s="79"/>
      <c r="B316" s="79"/>
      <c r="C316" s="79"/>
      <c r="D316" s="63" t="s">
        <v>1005</v>
      </c>
      <c r="E316" s="2"/>
      <c r="F316" s="3"/>
      <c r="G316" s="63" t="s">
        <v>1006</v>
      </c>
      <c r="H316" s="2"/>
      <c r="I316" s="3"/>
      <c r="P316" s="115">
        <f t="shared" ref="P316:Q316" si="418">+P315+1</f>
        <v>73</v>
      </c>
      <c r="Q316" s="115">
        <f t="shared" si="418"/>
        <v>72.5</v>
      </c>
      <c r="R316" s="115">
        <v>1.0</v>
      </c>
      <c r="S316" s="95">
        <f t="shared" si="330"/>
        <v>0</v>
      </c>
      <c r="T316" s="95">
        <f t="shared" si="331"/>
        <v>0</v>
      </c>
      <c r="U316" s="95">
        <f t="shared" si="332"/>
        <v>0</v>
      </c>
      <c r="V316" s="95">
        <f t="shared" si="333"/>
        <v>0</v>
      </c>
      <c r="W316" s="91">
        <f t="shared" si="334"/>
        <v>0</v>
      </c>
      <c r="X316" s="91">
        <f t="shared" si="335"/>
        <v>43.39856022</v>
      </c>
      <c r="Y316" s="101">
        <f t="shared" si="336"/>
        <v>0</v>
      </c>
      <c r="Z316" s="275">
        <f t="shared" si="337"/>
        <v>0</v>
      </c>
      <c r="AA316" s="272"/>
      <c r="AB316" s="276">
        <f t="shared" si="338"/>
        <v>0</v>
      </c>
      <c r="AC316" s="101">
        <f t="shared" si="339"/>
        <v>12986.60057</v>
      </c>
      <c r="AD316" s="101">
        <f>IF(ABS(AC316)&lt;Y316,SUM(Y$237:Y315)-AC316-SUM(Y316:Y351),0)</f>
        <v>0</v>
      </c>
      <c r="AF316" s="115">
        <f t="shared" si="344"/>
        <v>71</v>
      </c>
      <c r="AG316" s="131">
        <f t="shared" si="340"/>
        <v>0.9861111111</v>
      </c>
      <c r="AH316" s="90">
        <f t="shared" si="345"/>
        <v>24396.40593</v>
      </c>
      <c r="AI316" s="90">
        <f t="shared" si="346"/>
        <v>-806539.2949</v>
      </c>
      <c r="AJ316" s="90">
        <f t="shared" ref="AJ316:AK316" si="419">-AH316</f>
        <v>-24396.40593</v>
      </c>
      <c r="AK316" s="90">
        <f t="shared" si="419"/>
        <v>806539.2949</v>
      </c>
      <c r="AL316" s="101">
        <f t="shared" si="342"/>
        <v>-33.05975878</v>
      </c>
    </row>
    <row r="317" ht="12.75" hidden="1" customHeight="1">
      <c r="A317" s="68"/>
      <c r="B317" s="68"/>
      <c r="C317" s="68"/>
      <c r="D317" s="63" t="s">
        <v>409</v>
      </c>
      <c r="E317" s="3"/>
      <c r="F317" s="262" t="s">
        <v>1007</v>
      </c>
      <c r="G317" s="63" t="s">
        <v>409</v>
      </c>
      <c r="H317" s="3"/>
      <c r="I317" s="262" t="s">
        <v>1008</v>
      </c>
      <c r="P317" s="115">
        <f t="shared" ref="P317:Q317" si="420">+P316+1</f>
        <v>74</v>
      </c>
      <c r="Q317" s="115">
        <f t="shared" si="420"/>
        <v>73.5</v>
      </c>
      <c r="R317" s="115">
        <v>1.0</v>
      </c>
      <c r="S317" s="95">
        <f t="shared" si="330"/>
        <v>0</v>
      </c>
      <c r="T317" s="95">
        <f t="shared" si="331"/>
        <v>0</v>
      </c>
      <c r="U317" s="95">
        <f t="shared" si="332"/>
        <v>0</v>
      </c>
      <c r="V317" s="95">
        <f t="shared" si="333"/>
        <v>0</v>
      </c>
      <c r="W317" s="91">
        <f t="shared" si="334"/>
        <v>0</v>
      </c>
      <c r="X317" s="91">
        <f t="shared" si="335"/>
        <v>43.94543676</v>
      </c>
      <c r="Y317" s="101">
        <f t="shared" si="336"/>
        <v>0</v>
      </c>
      <c r="Z317" s="275">
        <f t="shared" si="337"/>
        <v>0</v>
      </c>
      <c r="AA317" s="272"/>
      <c r="AB317" s="276">
        <f t="shared" si="338"/>
        <v>0</v>
      </c>
      <c r="AC317" s="101">
        <f t="shared" si="339"/>
        <v>12834.40966</v>
      </c>
      <c r="AD317" s="101">
        <f>IF(ABS(AC317)&lt;Y317,SUM(Y$237:Y316)-AC317-SUM(Y317:Y351),0)</f>
        <v>0</v>
      </c>
      <c r="AF317" s="115">
        <f t="shared" si="344"/>
        <v>72</v>
      </c>
      <c r="AG317" s="131">
        <f t="shared" si="340"/>
        <v>1</v>
      </c>
      <c r="AH317" s="90">
        <f t="shared" si="345"/>
        <v>24396.40593</v>
      </c>
      <c r="AI317" s="90">
        <f t="shared" si="346"/>
        <v>-806539.2949</v>
      </c>
      <c r="AJ317" s="90">
        <f t="shared" ref="AJ317:AK317" si="421">-AH317</f>
        <v>-24396.40593</v>
      </c>
      <c r="AK317" s="90">
        <f t="shared" si="421"/>
        <v>806539.2949</v>
      </c>
      <c r="AL317" s="101">
        <f t="shared" si="342"/>
        <v>-33.05975878</v>
      </c>
    </row>
    <row r="318" ht="12.75" hidden="1" customHeight="1">
      <c r="A318" s="279" t="s">
        <v>414</v>
      </c>
      <c r="B318" s="279" t="s">
        <v>1009</v>
      </c>
      <c r="C318" s="212" t="s">
        <v>1010</v>
      </c>
      <c r="D318" s="282" t="s">
        <v>1011</v>
      </c>
      <c r="E318" s="74">
        <f>IF((1.2-0.015*G$315)&gt;0.93,0.93,(1.2-0.015*G$315))</f>
        <v>0.75</v>
      </c>
      <c r="F318" s="75">
        <f t="shared" ref="F318:F322" si="425">IF((E318*1.25)&gt;0.93,0.93,(E318*1.25))</f>
        <v>0.93</v>
      </c>
      <c r="G318" s="282" t="s">
        <v>1012</v>
      </c>
      <c r="H318" s="77">
        <f t="shared" ref="H318:I318" si="422">1.4/E318</f>
        <v>1.866666667</v>
      </c>
      <c r="I318" s="91">
        <f t="shared" si="422"/>
        <v>1.505376344</v>
      </c>
      <c r="P318" s="115">
        <f t="shared" ref="P318:Q318" si="423">+P317+1</f>
        <v>75</v>
      </c>
      <c r="Q318" s="115">
        <f t="shared" si="423"/>
        <v>74.5</v>
      </c>
      <c r="R318" s="115">
        <v>1.0</v>
      </c>
      <c r="S318" s="95">
        <f t="shared" si="330"/>
        <v>0</v>
      </c>
      <c r="T318" s="95">
        <f t="shared" si="331"/>
        <v>0</v>
      </c>
      <c r="U318" s="95">
        <f t="shared" si="332"/>
        <v>0</v>
      </c>
      <c r="V318" s="95">
        <f t="shared" si="333"/>
        <v>0</v>
      </c>
      <c r="W318" s="91">
        <f t="shared" si="334"/>
        <v>0</v>
      </c>
      <c r="X318" s="91">
        <f t="shared" si="335"/>
        <v>44.49231331</v>
      </c>
      <c r="Y318" s="101">
        <f t="shared" si="336"/>
        <v>0</v>
      </c>
      <c r="Z318" s="275">
        <f t="shared" si="337"/>
        <v>0</v>
      </c>
      <c r="AA318" s="272"/>
      <c r="AB318" s="276">
        <f t="shared" si="338"/>
        <v>0</v>
      </c>
      <c r="AC318" s="101">
        <f t="shared" si="339"/>
        <v>12685.7445</v>
      </c>
      <c r="AD318" s="101">
        <f>IF(ABS(AC318)&lt;Y318,SUM(Y$237:Y317)-AC318-SUM(Y318:Y351),0)</f>
        <v>0</v>
      </c>
      <c r="AF318" s="115">
        <f t="shared" si="344"/>
        <v>73</v>
      </c>
      <c r="AG318" s="131">
        <f t="shared" si="340"/>
        <v>1.013888889</v>
      </c>
      <c r="AH318" s="90">
        <f t="shared" si="345"/>
        <v>24396.40593</v>
      </c>
      <c r="AI318" s="90">
        <f t="shared" si="346"/>
        <v>-806539.2949</v>
      </c>
      <c r="AJ318" s="90">
        <f t="shared" ref="AJ318:AK318" si="424">-AH318</f>
        <v>-24396.40593</v>
      </c>
      <c r="AK318" s="90">
        <f t="shared" si="424"/>
        <v>806539.2949</v>
      </c>
      <c r="AL318" s="101">
        <f t="shared" si="342"/>
        <v>-33.05975878</v>
      </c>
    </row>
    <row r="319" ht="12.75" hidden="1" customHeight="1">
      <c r="A319" s="79"/>
      <c r="B319" s="79"/>
      <c r="C319" s="212" t="s">
        <v>1013</v>
      </c>
      <c r="D319" s="282" t="s">
        <v>1014</v>
      </c>
      <c r="E319" s="82">
        <f>IF((0.93-0.015*G$315)&gt;0.93,0.93,(0.93-0.015*G$315))</f>
        <v>0.48</v>
      </c>
      <c r="F319" s="75">
        <f t="shared" si="425"/>
        <v>0.6</v>
      </c>
      <c r="G319" s="282" t="s">
        <v>1015</v>
      </c>
      <c r="H319" s="315">
        <f t="shared" ref="H319:I319" si="426">1.4/E319</f>
        <v>2.916666667</v>
      </c>
      <c r="I319" s="316">
        <f t="shared" si="426"/>
        <v>2.333333333</v>
      </c>
      <c r="P319" s="115">
        <f t="shared" ref="P319:Q319" si="427">+P318+1</f>
        <v>76</v>
      </c>
      <c r="Q319" s="115">
        <f t="shared" si="427"/>
        <v>75.5</v>
      </c>
      <c r="R319" s="115">
        <v>1.0</v>
      </c>
      <c r="S319" s="95">
        <f t="shared" si="330"/>
        <v>0</v>
      </c>
      <c r="T319" s="95">
        <f t="shared" si="331"/>
        <v>0</v>
      </c>
      <c r="U319" s="95">
        <f t="shared" si="332"/>
        <v>0</v>
      </c>
      <c r="V319" s="95">
        <f t="shared" si="333"/>
        <v>0</v>
      </c>
      <c r="W319" s="91">
        <f t="shared" si="334"/>
        <v>0</v>
      </c>
      <c r="X319" s="91">
        <f t="shared" si="335"/>
        <v>45.03918985</v>
      </c>
      <c r="Y319" s="101">
        <f t="shared" si="336"/>
        <v>0</v>
      </c>
      <c r="Z319" s="275">
        <f t="shared" si="337"/>
        <v>0</v>
      </c>
      <c r="AA319" s="272"/>
      <c r="AB319" s="276">
        <f t="shared" si="338"/>
        <v>0</v>
      </c>
      <c r="AC319" s="101">
        <f t="shared" si="339"/>
        <v>12540.48398</v>
      </c>
      <c r="AD319" s="101">
        <f>IF(ABS(AC319)&lt;Y319,SUM(Y$237:Y318)-AC319-SUM(Y319:Y351),0)</f>
        <v>0</v>
      </c>
      <c r="AF319" s="115">
        <f t="shared" si="344"/>
        <v>74</v>
      </c>
      <c r="AG319" s="131">
        <f t="shared" si="340"/>
        <v>1.027777778</v>
      </c>
      <c r="AH319" s="90">
        <f t="shared" si="345"/>
        <v>24396.40593</v>
      </c>
      <c r="AI319" s="90">
        <f t="shared" si="346"/>
        <v>-806539.2949</v>
      </c>
      <c r="AJ319" s="90">
        <f t="shared" ref="AJ319:AK319" si="428">-AH319</f>
        <v>-24396.40593</v>
      </c>
      <c r="AK319" s="90">
        <f t="shared" si="428"/>
        <v>806539.2949</v>
      </c>
      <c r="AL319" s="101">
        <f t="shared" si="342"/>
        <v>-33.05975878</v>
      </c>
    </row>
    <row r="320" ht="12.75" hidden="1" customHeight="1">
      <c r="A320" s="79"/>
      <c r="B320" s="79"/>
      <c r="C320" s="212" t="s">
        <v>1016</v>
      </c>
      <c r="D320" s="282" t="s">
        <v>1017</v>
      </c>
      <c r="E320" s="82">
        <f>IF((1.07-0.015*G$315)&gt;0.93,0.93,(1.07-0.015*G$315))</f>
        <v>0.62</v>
      </c>
      <c r="F320" s="75">
        <f t="shared" si="425"/>
        <v>0.775</v>
      </c>
      <c r="G320" s="282" t="s">
        <v>1018</v>
      </c>
      <c r="H320" s="315">
        <f t="shared" ref="H320:I320" si="429">1.4/E320</f>
        <v>2.258064516</v>
      </c>
      <c r="I320" s="316">
        <f t="shared" si="429"/>
        <v>1.806451613</v>
      </c>
      <c r="P320" s="115">
        <f t="shared" ref="P320:Q320" si="430">+P319+1</f>
        <v>77</v>
      </c>
      <c r="Q320" s="115">
        <f t="shared" si="430"/>
        <v>76.5</v>
      </c>
      <c r="R320" s="115">
        <v>1.0</v>
      </c>
      <c r="S320" s="95">
        <f t="shared" si="330"/>
        <v>0</v>
      </c>
      <c r="T320" s="95">
        <f t="shared" si="331"/>
        <v>0</v>
      </c>
      <c r="U320" s="95">
        <f t="shared" si="332"/>
        <v>0</v>
      </c>
      <c r="V320" s="95">
        <f t="shared" si="333"/>
        <v>0</v>
      </c>
      <c r="W320" s="91">
        <f t="shared" si="334"/>
        <v>0</v>
      </c>
      <c r="X320" s="91">
        <f t="shared" si="335"/>
        <v>45.5860664</v>
      </c>
      <c r="Y320" s="101">
        <f t="shared" si="336"/>
        <v>0</v>
      </c>
      <c r="Z320" s="275">
        <f t="shared" si="337"/>
        <v>0</v>
      </c>
      <c r="AA320" s="272"/>
      <c r="AB320" s="276">
        <f t="shared" si="338"/>
        <v>0</v>
      </c>
      <c r="AC320" s="101">
        <f t="shared" si="339"/>
        <v>12398.51246</v>
      </c>
      <c r="AD320" s="101">
        <f>IF(ABS(AC320)&lt;Y320,SUM(Y$237:Y319)-AC320-SUM(Y320:Y351),0)</f>
        <v>0</v>
      </c>
      <c r="AF320" s="115">
        <f t="shared" si="344"/>
        <v>75</v>
      </c>
      <c r="AG320" s="131">
        <f t="shared" si="340"/>
        <v>1.041666667</v>
      </c>
      <c r="AH320" s="90">
        <f t="shared" si="345"/>
        <v>24396.40593</v>
      </c>
      <c r="AI320" s="90">
        <f t="shared" si="346"/>
        <v>-806539.2949</v>
      </c>
      <c r="AJ320" s="90">
        <f t="shared" ref="AJ320:AK320" si="431">-AH320</f>
        <v>-24396.40593</v>
      </c>
      <c r="AK320" s="90">
        <f t="shared" si="431"/>
        <v>806539.2949</v>
      </c>
      <c r="AL320" s="101">
        <f t="shared" si="342"/>
        <v>-33.05975878</v>
      </c>
    </row>
    <row r="321" ht="12.75" hidden="1" customHeight="1">
      <c r="A321" s="79"/>
      <c r="B321" s="79"/>
      <c r="C321" s="212" t="s">
        <v>1019</v>
      </c>
      <c r="D321" s="282" t="s">
        <v>1020</v>
      </c>
      <c r="E321" s="82">
        <f>IF((0.87-0.015*G$315)&gt;0.93,0.93,(0.87-0.015*G$315))</f>
        <v>0.42</v>
      </c>
      <c r="F321" s="75">
        <f t="shared" si="425"/>
        <v>0.525</v>
      </c>
      <c r="G321" s="282" t="s">
        <v>1021</v>
      </c>
      <c r="H321" s="315">
        <f t="shared" ref="H321:I321" si="432">1.4/E321</f>
        <v>3.333333333</v>
      </c>
      <c r="I321" s="316">
        <f t="shared" si="432"/>
        <v>2.666666667</v>
      </c>
      <c r="P321" s="115">
        <f t="shared" ref="P321:Q321" si="433">+P320+1</f>
        <v>78</v>
      </c>
      <c r="Q321" s="115">
        <f t="shared" si="433"/>
        <v>77.5</v>
      </c>
      <c r="R321" s="115">
        <v>1.0</v>
      </c>
      <c r="S321" s="95">
        <f t="shared" si="330"/>
        <v>0</v>
      </c>
      <c r="T321" s="95">
        <f t="shared" si="331"/>
        <v>0</v>
      </c>
      <c r="U321" s="95">
        <f t="shared" si="332"/>
        <v>0</v>
      </c>
      <c r="V321" s="95">
        <f t="shared" si="333"/>
        <v>0</v>
      </c>
      <c r="W321" s="91">
        <f t="shared" si="334"/>
        <v>0</v>
      </c>
      <c r="X321" s="91">
        <f t="shared" si="335"/>
        <v>46.13294295</v>
      </c>
      <c r="Y321" s="101">
        <f t="shared" si="336"/>
        <v>0</v>
      </c>
      <c r="Z321" s="275">
        <f t="shared" si="337"/>
        <v>0</v>
      </c>
      <c r="AA321" s="272"/>
      <c r="AB321" s="276">
        <f t="shared" si="338"/>
        <v>0</v>
      </c>
      <c r="AC321" s="101">
        <f t="shared" si="339"/>
        <v>12259.7195</v>
      </c>
      <c r="AD321" s="101">
        <f>IF(ABS(AC321)&lt;Y321,SUM(Y$237:Y320)-AC321-SUM(Y321:Y351),0)</f>
        <v>0</v>
      </c>
      <c r="AF321" s="115">
        <f t="shared" si="344"/>
        <v>76</v>
      </c>
      <c r="AG321" s="131">
        <f t="shared" si="340"/>
        <v>1.055555556</v>
      </c>
      <c r="AH321" s="90">
        <f t="shared" si="345"/>
        <v>24396.40593</v>
      </c>
      <c r="AI321" s="90">
        <f t="shared" si="346"/>
        <v>-806539.2949</v>
      </c>
      <c r="AJ321" s="90">
        <f t="shared" ref="AJ321:AK321" si="434">-AH321</f>
        <v>-24396.40593</v>
      </c>
      <c r="AK321" s="90">
        <f t="shared" si="434"/>
        <v>806539.2949</v>
      </c>
      <c r="AL321" s="101">
        <f t="shared" si="342"/>
        <v>-33.05975878</v>
      </c>
    </row>
    <row r="322" ht="12.75" hidden="1" customHeight="1">
      <c r="A322" s="68"/>
      <c r="B322" s="68"/>
      <c r="C322" s="212" t="s">
        <v>1022</v>
      </c>
      <c r="D322" s="282" t="s">
        <v>1023</v>
      </c>
      <c r="E322" s="82">
        <f>IF((1.16-0.015*G$315)&gt;0.93,0.93,(1.16-0.015*G$315))</f>
        <v>0.71</v>
      </c>
      <c r="F322" s="75">
        <f t="shared" si="425"/>
        <v>0.8875</v>
      </c>
      <c r="G322" s="282" t="s">
        <v>1024</v>
      </c>
      <c r="H322" s="77">
        <f t="shared" ref="H322:I322" si="435">1.4/E322</f>
        <v>1.971830986</v>
      </c>
      <c r="I322" s="91">
        <f t="shared" si="435"/>
        <v>1.577464789</v>
      </c>
      <c r="P322" s="115">
        <f t="shared" ref="P322:Q322" si="436">+P321+1</f>
        <v>79</v>
      </c>
      <c r="Q322" s="115">
        <f t="shared" si="436"/>
        <v>78.5</v>
      </c>
      <c r="R322" s="115">
        <v>1.0</v>
      </c>
      <c r="S322" s="95">
        <f t="shared" si="330"/>
        <v>0</v>
      </c>
      <c r="T322" s="95">
        <f t="shared" si="331"/>
        <v>0</v>
      </c>
      <c r="U322" s="95">
        <f t="shared" si="332"/>
        <v>0</v>
      </c>
      <c r="V322" s="95">
        <f t="shared" si="333"/>
        <v>0</v>
      </c>
      <c r="W322" s="91">
        <f t="shared" si="334"/>
        <v>0</v>
      </c>
      <c r="X322" s="91">
        <f t="shared" si="335"/>
        <v>46.67981949</v>
      </c>
      <c r="Y322" s="101">
        <f t="shared" si="336"/>
        <v>0</v>
      </c>
      <c r="Z322" s="275">
        <f t="shared" si="337"/>
        <v>0</v>
      </c>
      <c r="AA322" s="272"/>
      <c r="AB322" s="276">
        <f t="shared" si="338"/>
        <v>0</v>
      </c>
      <c r="AC322" s="101">
        <f t="shared" si="339"/>
        <v>12123.99952</v>
      </c>
      <c r="AD322" s="101">
        <f>IF(ABS(AC322)&lt;Y322,SUM(Y$237:Y321)-AC322-SUM(Y322:Y351),0)</f>
        <v>0</v>
      </c>
      <c r="AF322" s="115">
        <f t="shared" si="344"/>
        <v>77</v>
      </c>
      <c r="AG322" s="131">
        <f t="shared" si="340"/>
        <v>1.069444444</v>
      </c>
      <c r="AH322" s="90">
        <f t="shared" si="345"/>
        <v>24396.40593</v>
      </c>
      <c r="AI322" s="90">
        <f t="shared" si="346"/>
        <v>-806539.2949</v>
      </c>
      <c r="AJ322" s="90">
        <f t="shared" ref="AJ322:AK322" si="437">-AH322</f>
        <v>-24396.40593</v>
      </c>
      <c r="AK322" s="90">
        <f t="shared" si="437"/>
        <v>806539.2949</v>
      </c>
      <c r="AL322" s="101">
        <f t="shared" si="342"/>
        <v>-33.05975878</v>
      </c>
    </row>
    <row r="323" ht="12.75" hidden="1" customHeight="1">
      <c r="A323" s="279" t="s">
        <v>465</v>
      </c>
      <c r="B323" s="279" t="s">
        <v>1025</v>
      </c>
      <c r="C323" s="212" t="s">
        <v>1026</v>
      </c>
      <c r="D323" s="87">
        <v>0.7</v>
      </c>
      <c r="E323" s="3"/>
      <c r="F323" s="88">
        <f t="shared" ref="F323:F328" si="440">+D323*1.25</f>
        <v>0.875</v>
      </c>
      <c r="G323" s="317">
        <v>2.0</v>
      </c>
      <c r="H323" s="3"/>
      <c r="I323" s="119">
        <f t="shared" ref="I323:I328" si="441">+G323*0.8</f>
        <v>1.6</v>
      </c>
      <c r="P323" s="115">
        <f t="shared" ref="P323:Q323" si="438">+P322+1</f>
        <v>80</v>
      </c>
      <c r="Q323" s="115">
        <f t="shared" si="438"/>
        <v>79.5</v>
      </c>
      <c r="R323" s="115">
        <v>1.0</v>
      </c>
      <c r="S323" s="95">
        <f t="shared" si="330"/>
        <v>0</v>
      </c>
      <c r="T323" s="95">
        <f t="shared" si="331"/>
        <v>0</v>
      </c>
      <c r="U323" s="95">
        <f t="shared" si="332"/>
        <v>0</v>
      </c>
      <c r="V323" s="95">
        <f t="shared" si="333"/>
        <v>0</v>
      </c>
      <c r="W323" s="91">
        <f t="shared" si="334"/>
        <v>0</v>
      </c>
      <c r="X323" s="91">
        <f t="shared" si="335"/>
        <v>47.22669604</v>
      </c>
      <c r="Y323" s="101">
        <f t="shared" si="336"/>
        <v>0</v>
      </c>
      <c r="Z323" s="275">
        <f t="shared" si="337"/>
        <v>0</v>
      </c>
      <c r="AA323" s="272"/>
      <c r="AB323" s="276">
        <f t="shared" si="338"/>
        <v>0</v>
      </c>
      <c r="AC323" s="101">
        <f t="shared" si="339"/>
        <v>11991.25159</v>
      </c>
      <c r="AD323" s="101">
        <f>IF(ABS(AC323)&lt;Y323,SUM(Y$237:Y322)-AC323-SUM(Y323:Y351),0)</f>
        <v>0</v>
      </c>
      <c r="AF323" s="115">
        <f t="shared" si="344"/>
        <v>78</v>
      </c>
      <c r="AG323" s="131">
        <f t="shared" si="340"/>
        <v>1.083333333</v>
      </c>
      <c r="AH323" s="90">
        <f t="shared" si="345"/>
        <v>24396.40593</v>
      </c>
      <c r="AI323" s="90">
        <f t="shared" si="346"/>
        <v>-806539.2949</v>
      </c>
      <c r="AJ323" s="90">
        <f t="shared" ref="AJ323:AK323" si="439">-AH323</f>
        <v>-24396.40593</v>
      </c>
      <c r="AK323" s="90">
        <f t="shared" si="439"/>
        <v>806539.2949</v>
      </c>
      <c r="AL323" s="101">
        <f t="shared" si="342"/>
        <v>-33.05975878</v>
      </c>
    </row>
    <row r="324" ht="12.75" hidden="1" customHeight="1">
      <c r="A324" s="79"/>
      <c r="B324" s="79"/>
      <c r="C324" s="212" t="s">
        <v>1027</v>
      </c>
      <c r="D324" s="87">
        <v>0.7</v>
      </c>
      <c r="E324" s="3"/>
      <c r="F324" s="88">
        <f t="shared" si="440"/>
        <v>0.875</v>
      </c>
      <c r="G324" s="317">
        <v>2.0</v>
      </c>
      <c r="H324" s="3"/>
      <c r="I324" s="119">
        <f t="shared" si="441"/>
        <v>1.6</v>
      </c>
      <c r="P324" s="115">
        <f t="shared" ref="P324:Q324" si="442">+P323+1</f>
        <v>81</v>
      </c>
      <c r="Q324" s="115">
        <f t="shared" si="442"/>
        <v>80.5</v>
      </c>
      <c r="R324" s="115">
        <v>1.0</v>
      </c>
      <c r="S324" s="95">
        <f t="shared" si="330"/>
        <v>0</v>
      </c>
      <c r="T324" s="95">
        <f t="shared" si="331"/>
        <v>0</v>
      </c>
      <c r="U324" s="95">
        <f t="shared" si="332"/>
        <v>0</v>
      </c>
      <c r="V324" s="95">
        <f t="shared" si="333"/>
        <v>0</v>
      </c>
      <c r="W324" s="91">
        <f t="shared" si="334"/>
        <v>0</v>
      </c>
      <c r="X324" s="91">
        <f t="shared" si="335"/>
        <v>47.77357259</v>
      </c>
      <c r="Y324" s="101">
        <f t="shared" si="336"/>
        <v>0</v>
      </c>
      <c r="Z324" s="275">
        <f t="shared" si="337"/>
        <v>0</v>
      </c>
      <c r="AA324" s="272"/>
      <c r="AB324" s="276">
        <f t="shared" si="338"/>
        <v>0</v>
      </c>
      <c r="AC324" s="101">
        <f t="shared" si="339"/>
        <v>11861.37913</v>
      </c>
      <c r="AD324" s="101">
        <f>IF(ABS(AC324)&lt;Y324,SUM(Y$237:Y323)-AC324-SUM(Y324:Y351),0)</f>
        <v>0</v>
      </c>
      <c r="AF324" s="115">
        <f t="shared" si="344"/>
        <v>79</v>
      </c>
      <c r="AG324" s="131">
        <f t="shared" si="340"/>
        <v>1.097222222</v>
      </c>
      <c r="AH324" s="90">
        <f t="shared" si="345"/>
        <v>24396.40593</v>
      </c>
      <c r="AI324" s="90">
        <f t="shared" si="346"/>
        <v>-806539.2949</v>
      </c>
      <c r="AJ324" s="90">
        <f t="shared" ref="AJ324:AK324" si="443">-AH324</f>
        <v>-24396.40593</v>
      </c>
      <c r="AK324" s="90">
        <f t="shared" si="443"/>
        <v>806539.2949</v>
      </c>
      <c r="AL324" s="101">
        <f t="shared" si="342"/>
        <v>-33.05975878</v>
      </c>
    </row>
    <row r="325" ht="12.75" hidden="1" customHeight="1">
      <c r="A325" s="79"/>
      <c r="B325" s="79"/>
      <c r="C325" s="212" t="s">
        <v>1028</v>
      </c>
      <c r="D325" s="87">
        <v>0.7</v>
      </c>
      <c r="E325" s="3"/>
      <c r="F325" s="88">
        <f t="shared" si="440"/>
        <v>0.875</v>
      </c>
      <c r="G325" s="317">
        <v>2.0</v>
      </c>
      <c r="H325" s="3"/>
      <c r="I325" s="119">
        <f t="shared" si="441"/>
        <v>1.6</v>
      </c>
      <c r="P325" s="115">
        <f t="shared" ref="P325:Q325" si="444">+P324+1</f>
        <v>82</v>
      </c>
      <c r="Q325" s="115">
        <f t="shared" si="444"/>
        <v>81.5</v>
      </c>
      <c r="R325" s="115">
        <v>1.0</v>
      </c>
      <c r="S325" s="95">
        <f t="shared" si="330"/>
        <v>0</v>
      </c>
      <c r="T325" s="95">
        <f t="shared" si="331"/>
        <v>0</v>
      </c>
      <c r="U325" s="95">
        <f t="shared" si="332"/>
        <v>0</v>
      </c>
      <c r="V325" s="95">
        <f t="shared" si="333"/>
        <v>0</v>
      </c>
      <c r="W325" s="91">
        <f t="shared" si="334"/>
        <v>0</v>
      </c>
      <c r="X325" s="91">
        <f t="shared" si="335"/>
        <v>48.32044913</v>
      </c>
      <c r="Y325" s="101">
        <f t="shared" si="336"/>
        <v>0</v>
      </c>
      <c r="Z325" s="275">
        <f t="shared" si="337"/>
        <v>0</v>
      </c>
      <c r="AA325" s="272"/>
      <c r="AB325" s="276">
        <f t="shared" si="338"/>
        <v>0</v>
      </c>
      <c r="AC325" s="101">
        <f t="shared" si="339"/>
        <v>11734.28973</v>
      </c>
      <c r="AD325" s="101">
        <f>IF(ABS(AC325)&lt;Y325,SUM(Y$237:Y324)-AC325-SUM(Y325:Y351),0)</f>
        <v>0</v>
      </c>
      <c r="AF325" s="115">
        <f t="shared" si="344"/>
        <v>80</v>
      </c>
      <c r="AG325" s="131">
        <f t="shared" si="340"/>
        <v>1.111111111</v>
      </c>
      <c r="AH325" s="90">
        <f t="shared" si="345"/>
        <v>24396.40593</v>
      </c>
      <c r="AI325" s="90">
        <f t="shared" si="346"/>
        <v>-806539.2949</v>
      </c>
      <c r="AJ325" s="90">
        <f t="shared" ref="AJ325:AK325" si="445">-AH325</f>
        <v>-24396.40593</v>
      </c>
      <c r="AK325" s="90">
        <f t="shared" si="445"/>
        <v>806539.2949</v>
      </c>
      <c r="AL325" s="101">
        <f t="shared" si="342"/>
        <v>-33.05975878</v>
      </c>
    </row>
    <row r="326" ht="12.75" hidden="1" customHeight="1">
      <c r="A326" s="79"/>
      <c r="B326" s="79"/>
      <c r="C326" s="212" t="s">
        <v>1029</v>
      </c>
      <c r="D326" s="87">
        <v>0.7</v>
      </c>
      <c r="E326" s="3"/>
      <c r="F326" s="88">
        <f t="shared" si="440"/>
        <v>0.875</v>
      </c>
      <c r="G326" s="317">
        <v>2.0</v>
      </c>
      <c r="H326" s="3"/>
      <c r="I326" s="119">
        <f t="shared" si="441"/>
        <v>1.6</v>
      </c>
      <c r="P326" s="115">
        <f t="shared" ref="P326:Q326" si="446">+P325+1</f>
        <v>83</v>
      </c>
      <c r="Q326" s="115">
        <f t="shared" si="446"/>
        <v>82.5</v>
      </c>
      <c r="R326" s="115">
        <v>1.0</v>
      </c>
      <c r="S326" s="95">
        <f t="shared" si="330"/>
        <v>0</v>
      </c>
      <c r="T326" s="95">
        <f t="shared" si="331"/>
        <v>0</v>
      </c>
      <c r="U326" s="95">
        <f t="shared" si="332"/>
        <v>0</v>
      </c>
      <c r="V326" s="95">
        <f t="shared" si="333"/>
        <v>0</v>
      </c>
      <c r="W326" s="91">
        <f t="shared" si="334"/>
        <v>0</v>
      </c>
      <c r="X326" s="91">
        <f t="shared" si="335"/>
        <v>48.86732568</v>
      </c>
      <c r="Y326" s="101">
        <f t="shared" si="336"/>
        <v>0</v>
      </c>
      <c r="Z326" s="275">
        <f t="shared" si="337"/>
        <v>0</v>
      </c>
      <c r="AA326" s="272"/>
      <c r="AB326" s="276">
        <f t="shared" si="338"/>
        <v>0</v>
      </c>
      <c r="AC326" s="101">
        <f t="shared" si="339"/>
        <v>11609.89487</v>
      </c>
      <c r="AD326" s="101">
        <f>IF(ABS(AC326)&lt;Y326,SUM(Y$237:Y325)-AC326-SUM(Y326:Y351),0)</f>
        <v>0</v>
      </c>
      <c r="AF326" s="115">
        <f t="shared" si="344"/>
        <v>81</v>
      </c>
      <c r="AG326" s="131">
        <f t="shared" si="340"/>
        <v>1.125</v>
      </c>
      <c r="AH326" s="90">
        <f t="shared" si="345"/>
        <v>24396.40593</v>
      </c>
      <c r="AI326" s="90">
        <f t="shared" si="346"/>
        <v>-806539.2949</v>
      </c>
      <c r="AJ326" s="90">
        <f t="shared" ref="AJ326:AK326" si="447">-AH326</f>
        <v>-24396.40593</v>
      </c>
      <c r="AK326" s="90">
        <f t="shared" si="447"/>
        <v>806539.2949</v>
      </c>
      <c r="AL326" s="101">
        <f t="shared" si="342"/>
        <v>-33.05975878</v>
      </c>
    </row>
    <row r="327" ht="12.75" hidden="1" customHeight="1">
      <c r="A327" s="79"/>
      <c r="B327" s="79"/>
      <c r="C327" s="212" t="s">
        <v>1019</v>
      </c>
      <c r="D327" s="87">
        <v>0.56</v>
      </c>
      <c r="E327" s="3"/>
      <c r="F327" s="88">
        <f t="shared" si="440"/>
        <v>0.7</v>
      </c>
      <c r="G327" s="317">
        <v>2.5</v>
      </c>
      <c r="H327" s="3"/>
      <c r="I327" s="119">
        <f t="shared" si="441"/>
        <v>2</v>
      </c>
      <c r="P327" s="115">
        <f t="shared" ref="P327:Q327" si="448">+P326+1</f>
        <v>84</v>
      </c>
      <c r="Q327" s="115">
        <f t="shared" si="448"/>
        <v>83.5</v>
      </c>
      <c r="R327" s="115">
        <v>1.0</v>
      </c>
      <c r="S327" s="95">
        <f t="shared" si="330"/>
        <v>0</v>
      </c>
      <c r="T327" s="95">
        <f t="shared" si="331"/>
        <v>0</v>
      </c>
      <c r="U327" s="95">
        <f t="shared" si="332"/>
        <v>0</v>
      </c>
      <c r="V327" s="95">
        <f t="shared" si="333"/>
        <v>0</v>
      </c>
      <c r="W327" s="91">
        <f t="shared" si="334"/>
        <v>0</v>
      </c>
      <c r="X327" s="91">
        <f t="shared" si="335"/>
        <v>49.41420223</v>
      </c>
      <c r="Y327" s="101">
        <f t="shared" si="336"/>
        <v>0</v>
      </c>
      <c r="Z327" s="275">
        <f t="shared" si="337"/>
        <v>0</v>
      </c>
      <c r="AA327" s="272"/>
      <c r="AB327" s="276">
        <f t="shared" si="338"/>
        <v>0</v>
      </c>
      <c r="AC327" s="101">
        <f t="shared" si="339"/>
        <v>11488.10976</v>
      </c>
      <c r="AD327" s="101">
        <f>IF(ABS(AC327)&lt;Y327,SUM(Y$237:Y326)-AC327-SUM(Y327:Y351),0)</f>
        <v>0</v>
      </c>
      <c r="AF327" s="115">
        <f t="shared" si="344"/>
        <v>82</v>
      </c>
      <c r="AG327" s="131">
        <f t="shared" si="340"/>
        <v>1.138888889</v>
      </c>
      <c r="AH327" s="90">
        <f t="shared" si="345"/>
        <v>24396.40593</v>
      </c>
      <c r="AI327" s="90">
        <f t="shared" si="346"/>
        <v>-806539.2949</v>
      </c>
      <c r="AJ327" s="90">
        <f t="shared" ref="AJ327:AK327" si="449">-AH327</f>
        <v>-24396.40593</v>
      </c>
      <c r="AK327" s="90">
        <f t="shared" si="449"/>
        <v>806539.2949</v>
      </c>
      <c r="AL327" s="101">
        <f t="shared" si="342"/>
        <v>-33.05975878</v>
      </c>
    </row>
    <row r="328" ht="12.75" hidden="1" customHeight="1">
      <c r="A328" s="68"/>
      <c r="B328" s="68"/>
      <c r="C328" s="212" t="s">
        <v>1022</v>
      </c>
      <c r="D328" s="87">
        <v>0.7</v>
      </c>
      <c r="E328" s="3"/>
      <c r="F328" s="88">
        <f t="shared" si="440"/>
        <v>0.875</v>
      </c>
      <c r="G328" s="317">
        <v>2.0</v>
      </c>
      <c r="H328" s="3"/>
      <c r="I328" s="119">
        <f t="shared" si="441"/>
        <v>1.6</v>
      </c>
      <c r="P328" s="115">
        <f t="shared" ref="P328:Q328" si="450">+P327+1</f>
        <v>85</v>
      </c>
      <c r="Q328" s="115">
        <f t="shared" si="450"/>
        <v>84.5</v>
      </c>
      <c r="R328" s="115">
        <v>1.0</v>
      </c>
      <c r="S328" s="95">
        <f t="shared" si="330"/>
        <v>0</v>
      </c>
      <c r="T328" s="95">
        <f t="shared" si="331"/>
        <v>0</v>
      </c>
      <c r="U328" s="95">
        <f t="shared" si="332"/>
        <v>0</v>
      </c>
      <c r="V328" s="95">
        <f t="shared" si="333"/>
        <v>0</v>
      </c>
      <c r="W328" s="91">
        <f t="shared" si="334"/>
        <v>0</v>
      </c>
      <c r="X328" s="91">
        <f t="shared" si="335"/>
        <v>49.96107877</v>
      </c>
      <c r="Y328" s="101">
        <f t="shared" si="336"/>
        <v>0</v>
      </c>
      <c r="Z328" s="275">
        <f t="shared" si="337"/>
        <v>0</v>
      </c>
      <c r="AA328" s="272"/>
      <c r="AB328" s="276">
        <f t="shared" si="338"/>
        <v>0</v>
      </c>
      <c r="AC328" s="101">
        <f t="shared" si="339"/>
        <v>11368.85312</v>
      </c>
      <c r="AD328" s="101">
        <f>IF(ABS(AC328)&lt;Y328,SUM(Y$237:Y327)-AC328-SUM(Y328:Y351),0)</f>
        <v>0</v>
      </c>
      <c r="AF328" s="115">
        <f t="shared" si="344"/>
        <v>83</v>
      </c>
      <c r="AG328" s="131">
        <f t="shared" si="340"/>
        <v>1.152777778</v>
      </c>
      <c r="AH328" s="90">
        <f t="shared" si="345"/>
        <v>24396.40593</v>
      </c>
      <c r="AI328" s="90">
        <f t="shared" si="346"/>
        <v>-806539.2949</v>
      </c>
      <c r="AJ328" s="90">
        <f t="shared" ref="AJ328:AK328" si="451">-AH328</f>
        <v>-24396.40593</v>
      </c>
      <c r="AK328" s="90">
        <f t="shared" si="451"/>
        <v>806539.2949</v>
      </c>
      <c r="AL328" s="101">
        <f t="shared" si="342"/>
        <v>-33.05975878</v>
      </c>
    </row>
    <row r="329" ht="12.75" hidden="1" customHeight="1">
      <c r="A329" s="102" t="s">
        <v>1030</v>
      </c>
      <c r="B329" s="6"/>
      <c r="C329" s="6"/>
      <c r="D329" s="6"/>
      <c r="E329" s="6"/>
      <c r="F329" s="6"/>
      <c r="G329" s="6"/>
      <c r="H329" s="6"/>
      <c r="I329" s="103"/>
      <c r="P329" s="115">
        <f t="shared" ref="P329:Q329" si="452">+P328+1</f>
        <v>86</v>
      </c>
      <c r="Q329" s="115">
        <f t="shared" si="452"/>
        <v>85.5</v>
      </c>
      <c r="R329" s="115">
        <v>1.0</v>
      </c>
      <c r="S329" s="95">
        <f t="shared" si="330"/>
        <v>0</v>
      </c>
      <c r="T329" s="95">
        <f t="shared" si="331"/>
        <v>0</v>
      </c>
      <c r="U329" s="95">
        <f t="shared" si="332"/>
        <v>0</v>
      </c>
      <c r="V329" s="95">
        <f t="shared" si="333"/>
        <v>0</v>
      </c>
      <c r="W329" s="91">
        <f t="shared" si="334"/>
        <v>0</v>
      </c>
      <c r="X329" s="91">
        <f t="shared" si="335"/>
        <v>50.50795532</v>
      </c>
      <c r="Y329" s="101">
        <f t="shared" si="336"/>
        <v>0</v>
      </c>
      <c r="Z329" s="275">
        <f t="shared" si="337"/>
        <v>0</v>
      </c>
      <c r="AA329" s="272"/>
      <c r="AB329" s="276">
        <f t="shared" si="338"/>
        <v>0</v>
      </c>
      <c r="AC329" s="101">
        <f t="shared" si="339"/>
        <v>11252.04702</v>
      </c>
      <c r="AD329" s="101">
        <f>IF(ABS(AC329)&lt;Y329,SUM(Y$237:Y328)-AC329-SUM(Y329:Y351),0)</f>
        <v>0</v>
      </c>
      <c r="AF329" s="115">
        <f t="shared" si="344"/>
        <v>84</v>
      </c>
      <c r="AG329" s="131">
        <f t="shared" si="340"/>
        <v>1.166666667</v>
      </c>
      <c r="AH329" s="90">
        <f t="shared" si="345"/>
        <v>24396.40593</v>
      </c>
      <c r="AI329" s="90">
        <f t="shared" si="346"/>
        <v>-806539.2949</v>
      </c>
      <c r="AJ329" s="90">
        <f t="shared" ref="AJ329:AK329" si="453">-AH329</f>
        <v>-24396.40593</v>
      </c>
      <c r="AK329" s="90">
        <f t="shared" si="453"/>
        <v>806539.2949</v>
      </c>
      <c r="AL329" s="101">
        <f t="shared" si="342"/>
        <v>-33.05975878</v>
      </c>
    </row>
    <row r="330" ht="12.75" hidden="1" customHeight="1">
      <c r="A330" s="106" t="s">
        <v>1031</v>
      </c>
      <c r="I330" s="107"/>
      <c r="P330" s="115">
        <f t="shared" ref="P330:Q330" si="454">+P329+1</f>
        <v>87</v>
      </c>
      <c r="Q330" s="115">
        <f t="shared" si="454"/>
        <v>86.5</v>
      </c>
      <c r="R330" s="115">
        <v>1.0</v>
      </c>
      <c r="S330" s="95">
        <f t="shared" si="330"/>
        <v>0</v>
      </c>
      <c r="T330" s="95">
        <f t="shared" si="331"/>
        <v>0</v>
      </c>
      <c r="U330" s="95">
        <f t="shared" si="332"/>
        <v>0</v>
      </c>
      <c r="V330" s="95">
        <f t="shared" si="333"/>
        <v>0</v>
      </c>
      <c r="W330" s="91">
        <f t="shared" si="334"/>
        <v>0</v>
      </c>
      <c r="X330" s="91">
        <f t="shared" si="335"/>
        <v>51.05483186</v>
      </c>
      <c r="Y330" s="101">
        <f t="shared" si="336"/>
        <v>0</v>
      </c>
      <c r="Z330" s="275">
        <f t="shared" si="337"/>
        <v>0</v>
      </c>
      <c r="AA330" s="272"/>
      <c r="AB330" s="276">
        <f t="shared" si="338"/>
        <v>0</v>
      </c>
      <c r="AC330" s="101">
        <f t="shared" si="339"/>
        <v>11137.61669</v>
      </c>
      <c r="AD330" s="101">
        <f>IF(ABS(AC330)&lt;Y330,SUM(Y$237:Y329)-AC330-SUM(Y330:Y351),0)</f>
        <v>0</v>
      </c>
      <c r="AF330" s="115">
        <f t="shared" si="344"/>
        <v>85</v>
      </c>
      <c r="AG330" s="131">
        <f t="shared" si="340"/>
        <v>1.180555556</v>
      </c>
      <c r="AH330" s="90">
        <f t="shared" si="345"/>
        <v>24396.40593</v>
      </c>
      <c r="AI330" s="90">
        <f t="shared" si="346"/>
        <v>-806539.2949</v>
      </c>
      <c r="AJ330" s="90">
        <f t="shared" ref="AJ330:AK330" si="455">-AH330</f>
        <v>-24396.40593</v>
      </c>
      <c r="AK330" s="90">
        <f t="shared" si="455"/>
        <v>806539.2949</v>
      </c>
      <c r="AL330" s="101">
        <f t="shared" si="342"/>
        <v>-33.05975878</v>
      </c>
    </row>
    <row r="331" ht="12.75" hidden="1" customHeight="1">
      <c r="A331" s="108" t="s">
        <v>1032</v>
      </c>
      <c r="B331" s="53"/>
      <c r="C331" s="53"/>
      <c r="D331" s="53"/>
      <c r="E331" s="53"/>
      <c r="F331" s="53"/>
      <c r="G331" s="53"/>
      <c r="H331" s="53"/>
      <c r="I331" s="109"/>
      <c r="P331" s="115">
        <f t="shared" ref="P331:Q331" si="456">+P330+1</f>
        <v>88</v>
      </c>
      <c r="Q331" s="115">
        <f t="shared" si="456"/>
        <v>87.5</v>
      </c>
      <c r="R331" s="115">
        <v>1.0</v>
      </c>
      <c r="S331" s="95">
        <f t="shared" si="330"/>
        <v>0</v>
      </c>
      <c r="T331" s="95">
        <f t="shared" si="331"/>
        <v>0</v>
      </c>
      <c r="U331" s="95">
        <f t="shared" si="332"/>
        <v>0</v>
      </c>
      <c r="V331" s="95">
        <f t="shared" si="333"/>
        <v>0</v>
      </c>
      <c r="W331" s="91">
        <f t="shared" si="334"/>
        <v>0</v>
      </c>
      <c r="X331" s="91">
        <f t="shared" si="335"/>
        <v>51.60170841</v>
      </c>
      <c r="Y331" s="101">
        <f t="shared" si="336"/>
        <v>0</v>
      </c>
      <c r="Z331" s="275">
        <f t="shared" si="337"/>
        <v>0</v>
      </c>
      <c r="AA331" s="272"/>
      <c r="AB331" s="276">
        <f t="shared" si="338"/>
        <v>0</v>
      </c>
      <c r="AC331" s="101">
        <f t="shared" si="339"/>
        <v>11025.49038</v>
      </c>
      <c r="AD331" s="101">
        <f>IF(ABS(AC331)&lt;Y331,SUM(Y$237:Y330)-AC331-SUM(Y331:Y351),0)</f>
        <v>0</v>
      </c>
      <c r="AF331" s="115">
        <f t="shared" si="344"/>
        <v>86</v>
      </c>
      <c r="AG331" s="131">
        <f t="shared" si="340"/>
        <v>1.194444444</v>
      </c>
      <c r="AH331" s="90">
        <f t="shared" si="345"/>
        <v>24396.40593</v>
      </c>
      <c r="AI331" s="90">
        <f t="shared" si="346"/>
        <v>-806539.2949</v>
      </c>
      <c r="AJ331" s="90">
        <f t="shared" ref="AJ331:AK331" si="457">-AH331</f>
        <v>-24396.40593</v>
      </c>
      <c r="AK331" s="90">
        <f t="shared" si="457"/>
        <v>806539.2949</v>
      </c>
      <c r="AL331" s="101">
        <f t="shared" si="342"/>
        <v>-33.05975878</v>
      </c>
    </row>
    <row r="332" ht="12.75" hidden="1" customHeight="1">
      <c r="P332" s="115">
        <f t="shared" ref="P332:Q332" si="458">+P331+1</f>
        <v>89</v>
      </c>
      <c r="Q332" s="115">
        <f t="shared" si="458"/>
        <v>88.5</v>
      </c>
      <c r="R332" s="115">
        <v>1.0</v>
      </c>
      <c r="S332" s="95">
        <f t="shared" si="330"/>
        <v>0</v>
      </c>
      <c r="T332" s="95">
        <f t="shared" si="331"/>
        <v>0</v>
      </c>
      <c r="U332" s="95">
        <f t="shared" si="332"/>
        <v>0</v>
      </c>
      <c r="V332" s="95">
        <f t="shared" si="333"/>
        <v>0</v>
      </c>
      <c r="W332" s="91">
        <f t="shared" si="334"/>
        <v>0</v>
      </c>
      <c r="X332" s="91">
        <f t="shared" si="335"/>
        <v>52.14858496</v>
      </c>
      <c r="Y332" s="101">
        <f t="shared" si="336"/>
        <v>0</v>
      </c>
      <c r="Z332" s="275">
        <f t="shared" si="337"/>
        <v>0</v>
      </c>
      <c r="AA332" s="272"/>
      <c r="AB332" s="276">
        <f t="shared" si="338"/>
        <v>0</v>
      </c>
      <c r="AC332" s="101">
        <f t="shared" si="339"/>
        <v>10915.5992</v>
      </c>
      <c r="AD332" s="101">
        <f>IF(ABS(AC332)&lt;Y332,SUM(Y$237:Y331)-AC332-SUM(Y332:Y351),0)</f>
        <v>0</v>
      </c>
      <c r="AF332" s="115">
        <f t="shared" si="344"/>
        <v>87</v>
      </c>
      <c r="AG332" s="131">
        <f t="shared" si="340"/>
        <v>1.208333333</v>
      </c>
      <c r="AH332" s="90">
        <f t="shared" si="345"/>
        <v>24396.40593</v>
      </c>
      <c r="AI332" s="90">
        <f t="shared" si="346"/>
        <v>-806539.2949</v>
      </c>
      <c r="AJ332" s="90">
        <f t="shared" ref="AJ332:AK332" si="459">-AH332</f>
        <v>-24396.40593</v>
      </c>
      <c r="AK332" s="90">
        <f t="shared" si="459"/>
        <v>806539.2949</v>
      </c>
      <c r="AL332" s="101">
        <f t="shared" si="342"/>
        <v>-33.05975878</v>
      </c>
    </row>
    <row r="333" ht="12.75" hidden="1" customHeight="1">
      <c r="P333" s="115">
        <f t="shared" ref="P333:Q333" si="460">+P332+1</f>
        <v>90</v>
      </c>
      <c r="Q333" s="115">
        <f t="shared" si="460"/>
        <v>89.5</v>
      </c>
      <c r="R333" s="115">
        <v>1.0</v>
      </c>
      <c r="S333" s="95">
        <f t="shared" si="330"/>
        <v>0</v>
      </c>
      <c r="T333" s="95">
        <f t="shared" si="331"/>
        <v>0</v>
      </c>
      <c r="U333" s="95">
        <f t="shared" si="332"/>
        <v>0</v>
      </c>
      <c r="V333" s="95">
        <f t="shared" si="333"/>
        <v>0</v>
      </c>
      <c r="W333" s="91">
        <f t="shared" si="334"/>
        <v>0</v>
      </c>
      <c r="X333" s="91">
        <f t="shared" si="335"/>
        <v>52.6954615</v>
      </c>
      <c r="Y333" s="101">
        <f t="shared" si="336"/>
        <v>0</v>
      </c>
      <c r="Z333" s="275">
        <f t="shared" si="337"/>
        <v>0</v>
      </c>
      <c r="AA333" s="272"/>
      <c r="AB333" s="276">
        <f t="shared" si="338"/>
        <v>0</v>
      </c>
      <c r="AC333" s="101">
        <f t="shared" si="339"/>
        <v>10807.87698</v>
      </c>
      <c r="AD333" s="101">
        <f>IF(ABS(AC333)&lt;Y333,SUM(Y$237:Y332)-AC333-SUM(Y333:Y351),0)</f>
        <v>0</v>
      </c>
      <c r="AF333" s="115">
        <f t="shared" si="344"/>
        <v>88</v>
      </c>
      <c r="AG333" s="131">
        <f t="shared" si="340"/>
        <v>1.222222222</v>
      </c>
      <c r="AH333" s="90">
        <f t="shared" si="345"/>
        <v>24396.40593</v>
      </c>
      <c r="AI333" s="90">
        <f t="shared" si="346"/>
        <v>-806539.2949</v>
      </c>
      <c r="AJ333" s="90">
        <f t="shared" ref="AJ333:AK333" si="461">-AH333</f>
        <v>-24396.40593</v>
      </c>
      <c r="AK333" s="90">
        <f t="shared" si="461"/>
        <v>806539.2949</v>
      </c>
      <c r="AL333" s="101">
        <f t="shared" si="342"/>
        <v>-33.05975878</v>
      </c>
    </row>
    <row r="334" ht="12.75" hidden="1" customHeight="1">
      <c r="A334" s="51" t="s">
        <v>1033</v>
      </c>
      <c r="B334" s="8"/>
      <c r="C334" s="8"/>
      <c r="D334" s="8"/>
      <c r="E334" s="8"/>
      <c r="F334" s="8"/>
      <c r="G334" s="8"/>
      <c r="H334" s="8"/>
      <c r="I334" s="9"/>
      <c r="P334" s="115">
        <f t="shared" ref="P334:Q334" si="462">+P333+1</f>
        <v>91</v>
      </c>
      <c r="Q334" s="115">
        <f t="shared" si="462"/>
        <v>90.5</v>
      </c>
      <c r="R334" s="115">
        <v>1.0</v>
      </c>
      <c r="S334" s="95">
        <f t="shared" si="330"/>
        <v>0</v>
      </c>
      <c r="T334" s="95">
        <f t="shared" si="331"/>
        <v>0</v>
      </c>
      <c r="U334" s="95">
        <f t="shared" si="332"/>
        <v>0</v>
      </c>
      <c r="V334" s="95">
        <f t="shared" si="333"/>
        <v>0</v>
      </c>
      <c r="W334" s="91">
        <f t="shared" si="334"/>
        <v>0</v>
      </c>
      <c r="X334" s="91">
        <f t="shared" si="335"/>
        <v>53.24233805</v>
      </c>
      <c r="Y334" s="101">
        <f t="shared" si="336"/>
        <v>0</v>
      </c>
      <c r="Z334" s="275">
        <f t="shared" si="337"/>
        <v>0</v>
      </c>
      <c r="AA334" s="272"/>
      <c r="AB334" s="276">
        <f t="shared" si="338"/>
        <v>0</v>
      </c>
      <c r="AC334" s="101">
        <f t="shared" si="339"/>
        <v>10702.26012</v>
      </c>
      <c r="AD334" s="101">
        <f>IF(ABS(AC334)&lt;Y334,SUM(Y$237:Y333)-AC334-SUM(Y334:Y351),0)</f>
        <v>0</v>
      </c>
      <c r="AF334" s="115">
        <f t="shared" si="344"/>
        <v>89</v>
      </c>
      <c r="AG334" s="131">
        <f t="shared" si="340"/>
        <v>1.236111111</v>
      </c>
      <c r="AH334" s="90">
        <f t="shared" si="345"/>
        <v>24396.40593</v>
      </c>
      <c r="AI334" s="90">
        <f t="shared" si="346"/>
        <v>-806539.2949</v>
      </c>
      <c r="AJ334" s="90">
        <f t="shared" ref="AJ334:AK334" si="463">-AH334</f>
        <v>-24396.40593</v>
      </c>
      <c r="AK334" s="90">
        <f t="shared" si="463"/>
        <v>806539.2949</v>
      </c>
      <c r="AL334" s="101">
        <f t="shared" si="342"/>
        <v>-33.05975878</v>
      </c>
    </row>
    <row r="335" ht="12.75" hidden="1" customHeight="1">
      <c r="P335" s="115">
        <f t="shared" ref="P335:Q335" si="464">+P334+1</f>
        <v>92</v>
      </c>
      <c r="Q335" s="115">
        <f t="shared" si="464"/>
        <v>91.5</v>
      </c>
      <c r="R335" s="115">
        <v>1.0</v>
      </c>
      <c r="S335" s="95">
        <f t="shared" si="330"/>
        <v>0</v>
      </c>
      <c r="T335" s="95">
        <f t="shared" si="331"/>
        <v>0</v>
      </c>
      <c r="U335" s="95">
        <f t="shared" si="332"/>
        <v>0</v>
      </c>
      <c r="V335" s="95">
        <f t="shared" si="333"/>
        <v>0</v>
      </c>
      <c r="W335" s="91">
        <f t="shared" si="334"/>
        <v>0</v>
      </c>
      <c r="X335" s="91">
        <f t="shared" si="335"/>
        <v>53.7892146</v>
      </c>
      <c r="Y335" s="101">
        <f t="shared" si="336"/>
        <v>0</v>
      </c>
      <c r="Z335" s="275">
        <f t="shared" si="337"/>
        <v>0</v>
      </c>
      <c r="AA335" s="272"/>
      <c r="AB335" s="276">
        <f t="shared" si="338"/>
        <v>0</v>
      </c>
      <c r="AC335" s="101">
        <f t="shared" si="339"/>
        <v>10598.68751</v>
      </c>
      <c r="AD335" s="101">
        <f>IF(ABS(AC335)&lt;Y335,SUM(Y$237:Y334)-AC335-SUM(Y335:Y351),0)</f>
        <v>0</v>
      </c>
      <c r="AF335" s="115">
        <f t="shared" si="344"/>
        <v>90</v>
      </c>
      <c r="AG335" s="131">
        <f t="shared" si="340"/>
        <v>1.25</v>
      </c>
      <c r="AH335" s="90">
        <f t="shared" si="345"/>
        <v>24396.40593</v>
      </c>
      <c r="AI335" s="90">
        <f t="shared" si="346"/>
        <v>-806539.2949</v>
      </c>
      <c r="AJ335" s="90">
        <f t="shared" ref="AJ335:AK335" si="465">-AH335</f>
        <v>-24396.40593</v>
      </c>
      <c r="AK335" s="90">
        <f t="shared" si="465"/>
        <v>806539.2949</v>
      </c>
      <c r="AL335" s="101">
        <f t="shared" si="342"/>
        <v>-33.05975878</v>
      </c>
    </row>
    <row r="336" ht="12.75" hidden="1" customHeight="1">
      <c r="A336" s="318" t="s">
        <v>1034</v>
      </c>
      <c r="B336" s="318" t="s">
        <v>1035</v>
      </c>
      <c r="C336" s="318" t="s">
        <v>1036</v>
      </c>
      <c r="D336" s="12" t="s">
        <v>1037</v>
      </c>
      <c r="E336" s="3"/>
      <c r="F336" s="12" t="s">
        <v>1038</v>
      </c>
      <c r="G336" s="2"/>
      <c r="H336" s="3"/>
      <c r="I336" s="318" t="s">
        <v>1039</v>
      </c>
      <c r="P336" s="115">
        <f t="shared" ref="P336:Q336" si="466">+P335+1</f>
        <v>93</v>
      </c>
      <c r="Q336" s="115">
        <f t="shared" si="466"/>
        <v>92.5</v>
      </c>
      <c r="R336" s="115">
        <v>1.0</v>
      </c>
      <c r="S336" s="95">
        <f t="shared" si="330"/>
        <v>0</v>
      </c>
      <c r="T336" s="95">
        <f t="shared" si="331"/>
        <v>0</v>
      </c>
      <c r="U336" s="95">
        <f t="shared" si="332"/>
        <v>0</v>
      </c>
      <c r="V336" s="95">
        <f t="shared" si="333"/>
        <v>0</v>
      </c>
      <c r="W336" s="91">
        <f t="shared" si="334"/>
        <v>0</v>
      </c>
      <c r="X336" s="91">
        <f t="shared" si="335"/>
        <v>54.33609114</v>
      </c>
      <c r="Y336" s="101">
        <f t="shared" si="336"/>
        <v>0</v>
      </c>
      <c r="Z336" s="275">
        <f t="shared" si="337"/>
        <v>0</v>
      </c>
      <c r="AA336" s="272"/>
      <c r="AB336" s="276">
        <f t="shared" si="338"/>
        <v>0</v>
      </c>
      <c r="AC336" s="101">
        <f t="shared" si="339"/>
        <v>10497.10036</v>
      </c>
      <c r="AD336" s="101">
        <f>IF(ABS(AC336)&lt;Y336,SUM(Y$237:Y335)-AC336-SUM(Y336:Y351),0)</f>
        <v>0</v>
      </c>
      <c r="AF336" s="115">
        <f t="shared" si="344"/>
        <v>91</v>
      </c>
      <c r="AG336" s="131">
        <f t="shared" si="340"/>
        <v>1.263888889</v>
      </c>
      <c r="AH336" s="90">
        <f t="shared" si="345"/>
        <v>24396.40593</v>
      </c>
      <c r="AI336" s="90">
        <f t="shared" si="346"/>
        <v>-806539.2949</v>
      </c>
      <c r="AJ336" s="90">
        <f t="shared" ref="AJ336:AK336" si="467">-AH336</f>
        <v>-24396.40593</v>
      </c>
      <c r="AK336" s="90">
        <f t="shared" si="467"/>
        <v>806539.2949</v>
      </c>
      <c r="AL336" s="101">
        <f t="shared" si="342"/>
        <v>-33.05975878</v>
      </c>
    </row>
    <row r="337" ht="12.75" hidden="1" customHeight="1">
      <c r="A337" s="79"/>
      <c r="B337" s="79"/>
      <c r="C337" s="68"/>
      <c r="D337" s="319" t="s">
        <v>1040</v>
      </c>
      <c r="E337" s="319" t="s">
        <v>1041</v>
      </c>
      <c r="F337" s="319" t="s">
        <v>1042</v>
      </c>
      <c r="G337" s="319" t="s">
        <v>1043</v>
      </c>
      <c r="H337" s="319" t="s">
        <v>1044</v>
      </c>
      <c r="I337" s="68"/>
      <c r="P337" s="115">
        <f t="shared" ref="P337:Q337" si="468">+P336+1</f>
        <v>94</v>
      </c>
      <c r="Q337" s="115">
        <f t="shared" si="468"/>
        <v>93.5</v>
      </c>
      <c r="R337" s="115">
        <v>1.0</v>
      </c>
      <c r="S337" s="95">
        <f t="shared" si="330"/>
        <v>0</v>
      </c>
      <c r="T337" s="95">
        <f t="shared" si="331"/>
        <v>0</v>
      </c>
      <c r="U337" s="95">
        <f t="shared" si="332"/>
        <v>0</v>
      </c>
      <c r="V337" s="95">
        <f t="shared" si="333"/>
        <v>0</v>
      </c>
      <c r="W337" s="91">
        <f t="shared" si="334"/>
        <v>0</v>
      </c>
      <c r="X337" s="91">
        <f t="shared" si="335"/>
        <v>54.88296769</v>
      </c>
      <c r="Y337" s="101">
        <f t="shared" si="336"/>
        <v>0</v>
      </c>
      <c r="Z337" s="275">
        <f t="shared" si="337"/>
        <v>0</v>
      </c>
      <c r="AA337" s="272"/>
      <c r="AB337" s="276">
        <f t="shared" si="338"/>
        <v>0</v>
      </c>
      <c r="AC337" s="101">
        <f t="shared" si="339"/>
        <v>10397.44212</v>
      </c>
      <c r="AD337" s="101">
        <f>IF(ABS(AC337)&lt;Y337,SUM(Y$237:Y336)-AC337-SUM(Y337:Y351),0)</f>
        <v>0</v>
      </c>
      <c r="AF337" s="115">
        <f t="shared" si="344"/>
        <v>92</v>
      </c>
      <c r="AG337" s="131">
        <f t="shared" si="340"/>
        <v>1.277777778</v>
      </c>
      <c r="AH337" s="90">
        <f t="shared" si="345"/>
        <v>24396.40593</v>
      </c>
      <c r="AI337" s="90">
        <f t="shared" si="346"/>
        <v>-806539.2949</v>
      </c>
      <c r="AJ337" s="90">
        <f t="shared" ref="AJ337:AK337" si="469">-AH337</f>
        <v>-24396.40593</v>
      </c>
      <c r="AK337" s="90">
        <f t="shared" si="469"/>
        <v>806539.2949</v>
      </c>
      <c r="AL337" s="101">
        <f t="shared" si="342"/>
        <v>-33.05975878</v>
      </c>
    </row>
    <row r="338" ht="12.75" hidden="1" customHeight="1">
      <c r="A338" s="68"/>
      <c r="B338" s="68"/>
      <c r="C338" s="120" t="s">
        <v>1045</v>
      </c>
      <c r="D338" s="120" t="s">
        <v>408</v>
      </c>
      <c r="E338" s="120" t="s">
        <v>408</v>
      </c>
      <c r="F338" s="120" t="s">
        <v>408</v>
      </c>
      <c r="G338" s="120" t="s">
        <v>408</v>
      </c>
      <c r="H338" s="120" t="s">
        <v>408</v>
      </c>
      <c r="I338" s="120" t="s">
        <v>940</v>
      </c>
      <c r="P338" s="115">
        <f t="shared" ref="P338:Q338" si="470">+P337+1</f>
        <v>95</v>
      </c>
      <c r="Q338" s="115">
        <f t="shared" si="470"/>
        <v>94.5</v>
      </c>
      <c r="R338" s="115">
        <v>1.0</v>
      </c>
      <c r="S338" s="95">
        <f t="shared" si="330"/>
        <v>0</v>
      </c>
      <c r="T338" s="95">
        <f t="shared" si="331"/>
        <v>0</v>
      </c>
      <c r="U338" s="95">
        <f t="shared" si="332"/>
        <v>0</v>
      </c>
      <c r="V338" s="95">
        <f t="shared" si="333"/>
        <v>0</v>
      </c>
      <c r="W338" s="91">
        <f t="shared" si="334"/>
        <v>0</v>
      </c>
      <c r="X338" s="91">
        <f t="shared" si="335"/>
        <v>55.42984424</v>
      </c>
      <c r="Y338" s="101">
        <f t="shared" si="336"/>
        <v>0</v>
      </c>
      <c r="Z338" s="275">
        <f t="shared" si="337"/>
        <v>0</v>
      </c>
      <c r="AA338" s="272"/>
      <c r="AB338" s="276">
        <f t="shared" si="338"/>
        <v>0</v>
      </c>
      <c r="AC338" s="101">
        <f t="shared" si="339"/>
        <v>10299.65838</v>
      </c>
      <c r="AD338" s="101">
        <f>IF(ABS(AC338)&lt;Y338,SUM(Y$237:Y337)-AC338-SUM(Y338:Y351),0)</f>
        <v>0</v>
      </c>
      <c r="AF338" s="115">
        <f t="shared" si="344"/>
        <v>93</v>
      </c>
      <c r="AG338" s="131">
        <f t="shared" si="340"/>
        <v>1.291666667</v>
      </c>
      <c r="AH338" s="90">
        <f t="shared" si="345"/>
        <v>24396.40593</v>
      </c>
      <c r="AI338" s="90">
        <f t="shared" si="346"/>
        <v>-806539.2949</v>
      </c>
      <c r="AJ338" s="90">
        <f t="shared" ref="AJ338:AK338" si="471">-AH338</f>
        <v>-24396.40593</v>
      </c>
      <c r="AK338" s="90">
        <f t="shared" si="471"/>
        <v>806539.2949</v>
      </c>
      <c r="AL338" s="101">
        <f t="shared" si="342"/>
        <v>-33.05975878</v>
      </c>
    </row>
    <row r="339" ht="12.75" hidden="1" customHeight="1">
      <c r="A339" s="115">
        <v>1.0</v>
      </c>
      <c r="B339" s="67" t="s">
        <v>1046</v>
      </c>
      <c r="C339" s="67">
        <v>34.0</v>
      </c>
      <c r="D339" s="67"/>
      <c r="E339" s="67"/>
      <c r="F339" s="67">
        <f>D236</f>
        <v>72</v>
      </c>
      <c r="G339" s="67">
        <f>(D237-0.5)</f>
        <v>5.5</v>
      </c>
      <c r="H339" s="67">
        <f>(D237-0.5)</f>
        <v>5.5</v>
      </c>
      <c r="I339" s="101">
        <f t="shared" ref="I339:I344" si="474">+(C339/1728)*(D339*E339^2*3.1416/4+F339*G339*H339)</f>
        <v>42.85416667</v>
      </c>
      <c r="P339" s="115">
        <f t="shared" ref="P339:Q339" si="472">+P338+1</f>
        <v>96</v>
      </c>
      <c r="Q339" s="115">
        <f t="shared" si="472"/>
        <v>95.5</v>
      </c>
      <c r="R339" s="115">
        <v>1.0</v>
      </c>
      <c r="S339" s="95">
        <f t="shared" si="330"/>
        <v>0</v>
      </c>
      <c r="T339" s="95">
        <f t="shared" si="331"/>
        <v>0</v>
      </c>
      <c r="U339" s="95">
        <f t="shared" si="332"/>
        <v>0</v>
      </c>
      <c r="V339" s="95">
        <f t="shared" si="333"/>
        <v>0</v>
      </c>
      <c r="W339" s="91">
        <f t="shared" si="334"/>
        <v>0</v>
      </c>
      <c r="X339" s="91">
        <f t="shared" si="335"/>
        <v>55.97672078</v>
      </c>
      <c r="Y339" s="101">
        <f t="shared" si="336"/>
        <v>0</v>
      </c>
      <c r="Z339" s="275">
        <f t="shared" si="337"/>
        <v>0</v>
      </c>
      <c r="AA339" s="272"/>
      <c r="AB339" s="276">
        <f t="shared" si="338"/>
        <v>0</v>
      </c>
      <c r="AC339" s="101">
        <f t="shared" si="339"/>
        <v>10203.69673</v>
      </c>
      <c r="AD339" s="101">
        <f>IF(ABS(AC339)&lt;Y339,SUM(Y$237:Y338)-AC339-SUM(Y339:Y351),0)</f>
        <v>0</v>
      </c>
      <c r="AF339" s="115">
        <f t="shared" si="344"/>
        <v>94</v>
      </c>
      <c r="AG339" s="131">
        <f t="shared" si="340"/>
        <v>1.305555556</v>
      </c>
      <c r="AH339" s="90">
        <f t="shared" si="345"/>
        <v>24396.40593</v>
      </c>
      <c r="AI339" s="90">
        <f t="shared" si="346"/>
        <v>-806539.2949</v>
      </c>
      <c r="AJ339" s="90">
        <f t="shared" ref="AJ339:AK339" si="473">-AH339</f>
        <v>-24396.40593</v>
      </c>
      <c r="AK339" s="90">
        <f t="shared" si="473"/>
        <v>806539.2949</v>
      </c>
      <c r="AL339" s="101">
        <f t="shared" si="342"/>
        <v>-33.05975878</v>
      </c>
    </row>
    <row r="340" ht="12.75" hidden="1" customHeight="1">
      <c r="A340" s="115">
        <v>2.0</v>
      </c>
      <c r="B340" s="67" t="s">
        <v>1047</v>
      </c>
      <c r="C340" s="67">
        <v>120.0</v>
      </c>
      <c r="D340" s="67">
        <f>E284</f>
        <v>6</v>
      </c>
      <c r="E340" s="67">
        <f>E282</f>
        <v>36</v>
      </c>
      <c r="F340" s="67"/>
      <c r="G340" s="67"/>
      <c r="H340" s="67"/>
      <c r="I340" s="101">
        <f t="shared" si="474"/>
        <v>424.116</v>
      </c>
      <c r="P340" s="115">
        <f t="shared" ref="P340:Q340" si="475">+P339+1</f>
        <v>97</v>
      </c>
      <c r="Q340" s="115">
        <f t="shared" si="475"/>
        <v>96.5</v>
      </c>
      <c r="R340" s="115">
        <v>1.0</v>
      </c>
      <c r="S340" s="95">
        <f t="shared" si="330"/>
        <v>0</v>
      </c>
      <c r="T340" s="95">
        <f t="shared" si="331"/>
        <v>0</v>
      </c>
      <c r="U340" s="95">
        <f t="shared" si="332"/>
        <v>0</v>
      </c>
      <c r="V340" s="95">
        <f t="shared" si="333"/>
        <v>0</v>
      </c>
      <c r="W340" s="91">
        <f t="shared" si="334"/>
        <v>0</v>
      </c>
      <c r="X340" s="91">
        <f t="shared" si="335"/>
        <v>56.52359733</v>
      </c>
      <c r="Y340" s="101">
        <f t="shared" si="336"/>
        <v>0</v>
      </c>
      <c r="Z340" s="275">
        <f t="shared" si="337"/>
        <v>0</v>
      </c>
      <c r="AA340" s="272"/>
      <c r="AB340" s="276">
        <f t="shared" si="338"/>
        <v>0</v>
      </c>
      <c r="AC340" s="101">
        <f t="shared" si="339"/>
        <v>10109.50672</v>
      </c>
      <c r="AD340" s="101">
        <f>IF(ABS(AC340)&lt;Y340,SUM(Y$237:Y339)-AC340-SUM(Y340:Y351),0)</f>
        <v>0</v>
      </c>
      <c r="AF340" s="115">
        <f t="shared" si="344"/>
        <v>95</v>
      </c>
      <c r="AG340" s="131">
        <f t="shared" si="340"/>
        <v>1.319444444</v>
      </c>
      <c r="AH340" s="90">
        <f t="shared" si="345"/>
        <v>24396.40593</v>
      </c>
      <c r="AI340" s="90">
        <f t="shared" si="346"/>
        <v>-806539.2949</v>
      </c>
      <c r="AJ340" s="90">
        <f t="shared" ref="AJ340:AK340" si="476">-AH340</f>
        <v>-24396.40593</v>
      </c>
      <c r="AK340" s="90">
        <f t="shared" si="476"/>
        <v>806539.2949</v>
      </c>
      <c r="AL340" s="101">
        <f t="shared" si="342"/>
        <v>-33.05975878</v>
      </c>
    </row>
    <row r="341" ht="12.75" hidden="1" customHeight="1">
      <c r="A341" s="115">
        <v>3.0</v>
      </c>
      <c r="B341" s="67" t="s">
        <v>1048</v>
      </c>
      <c r="C341" s="67">
        <v>-120.0</v>
      </c>
      <c r="D341" s="67"/>
      <c r="E341" s="67"/>
      <c r="F341" s="67">
        <v>12.0</v>
      </c>
      <c r="G341" s="67">
        <v>5.5</v>
      </c>
      <c r="H341" s="67">
        <v>5.5</v>
      </c>
      <c r="I341" s="101">
        <f t="shared" si="474"/>
        <v>-25.20833333</v>
      </c>
      <c r="P341" s="115">
        <f t="shared" ref="P341:Q341" si="477">+P340+1</f>
        <v>98</v>
      </c>
      <c r="Q341" s="115">
        <f t="shared" si="477"/>
        <v>97.5</v>
      </c>
      <c r="R341" s="115">
        <v>1.0</v>
      </c>
      <c r="S341" s="95">
        <f t="shared" si="330"/>
        <v>0</v>
      </c>
      <c r="T341" s="95">
        <f t="shared" si="331"/>
        <v>0</v>
      </c>
      <c r="U341" s="95">
        <f t="shared" si="332"/>
        <v>0</v>
      </c>
      <c r="V341" s="95">
        <f t="shared" si="333"/>
        <v>0</v>
      </c>
      <c r="W341" s="91">
        <f t="shared" si="334"/>
        <v>0</v>
      </c>
      <c r="X341" s="91">
        <f t="shared" si="335"/>
        <v>57.07047387</v>
      </c>
      <c r="Y341" s="101">
        <f t="shared" si="336"/>
        <v>0</v>
      </c>
      <c r="Z341" s="275">
        <f t="shared" si="337"/>
        <v>0</v>
      </c>
      <c r="AA341" s="272"/>
      <c r="AB341" s="276">
        <f t="shared" si="338"/>
        <v>0</v>
      </c>
      <c r="AC341" s="101">
        <f t="shared" si="339"/>
        <v>10017.03973</v>
      </c>
      <c r="AD341" s="101">
        <f>IF(ABS(AC341)&lt;Y341,SUM(Y$237:Y340)-AC341-SUM(Y341:Y351),0)</f>
        <v>0</v>
      </c>
      <c r="AF341" s="115">
        <f t="shared" si="344"/>
        <v>96</v>
      </c>
      <c r="AG341" s="131">
        <f t="shared" si="340"/>
        <v>1.333333333</v>
      </c>
      <c r="AH341" s="90">
        <f t="shared" si="345"/>
        <v>24396.40593</v>
      </c>
      <c r="AI341" s="90">
        <f t="shared" si="346"/>
        <v>-806539.2949</v>
      </c>
      <c r="AJ341" s="90">
        <f t="shared" ref="AJ341:AK341" si="478">-AH341</f>
        <v>-24396.40593</v>
      </c>
      <c r="AK341" s="90">
        <f t="shared" si="478"/>
        <v>806539.2949</v>
      </c>
      <c r="AL341" s="101">
        <f t="shared" si="342"/>
        <v>-33.05975878</v>
      </c>
    </row>
    <row r="342" ht="12.75" hidden="1" customHeight="1">
      <c r="A342" s="115">
        <v>4.0</v>
      </c>
      <c r="B342" s="67" t="s">
        <v>1049</v>
      </c>
      <c r="C342" s="67">
        <v>150.0</v>
      </c>
      <c r="D342" s="171">
        <f>D243+D242</f>
        <v>42</v>
      </c>
      <c r="E342" s="67">
        <f>D244</f>
        <v>36</v>
      </c>
      <c r="F342" s="67"/>
      <c r="G342" s="67"/>
      <c r="H342" s="67"/>
      <c r="I342" s="101">
        <f t="shared" si="474"/>
        <v>3711.015</v>
      </c>
      <c r="P342" s="115">
        <f t="shared" ref="P342:Q342" si="479">+P341+1</f>
        <v>99</v>
      </c>
      <c r="Q342" s="115">
        <f t="shared" si="479"/>
        <v>98.5</v>
      </c>
      <c r="R342" s="115">
        <v>1.0</v>
      </c>
      <c r="S342" s="95">
        <f t="shared" si="330"/>
        <v>0</v>
      </c>
      <c r="T342" s="95">
        <f t="shared" si="331"/>
        <v>0</v>
      </c>
      <c r="U342" s="95">
        <f t="shared" si="332"/>
        <v>0</v>
      </c>
      <c r="V342" s="95">
        <f t="shared" si="333"/>
        <v>0</v>
      </c>
      <c r="W342" s="91">
        <f t="shared" si="334"/>
        <v>0</v>
      </c>
      <c r="X342" s="91">
        <f t="shared" si="335"/>
        <v>57.61735042</v>
      </c>
      <c r="Y342" s="101">
        <f t="shared" si="336"/>
        <v>0</v>
      </c>
      <c r="Z342" s="275">
        <f t="shared" si="337"/>
        <v>0</v>
      </c>
      <c r="AA342" s="272"/>
      <c r="AB342" s="276">
        <f t="shared" si="338"/>
        <v>0</v>
      </c>
      <c r="AC342" s="101">
        <f t="shared" si="339"/>
        <v>9926.24892</v>
      </c>
      <c r="AD342" s="101">
        <f>IF(ABS(AC342)&lt;Y342,SUM(Y$237:Y341)-AC342-SUM(Y342:Y351),0)</f>
        <v>0</v>
      </c>
      <c r="AF342" s="115">
        <f t="shared" si="344"/>
        <v>97</v>
      </c>
      <c r="AG342" s="131">
        <f t="shared" si="340"/>
        <v>1.347222222</v>
      </c>
      <c r="AH342" s="90">
        <f t="shared" si="345"/>
        <v>24396.40593</v>
      </c>
      <c r="AI342" s="90">
        <f t="shared" si="346"/>
        <v>-806539.2949</v>
      </c>
      <c r="AJ342" s="90">
        <f t="shared" ref="AJ342:AK342" si="480">-AH342</f>
        <v>-24396.40593</v>
      </c>
      <c r="AK342" s="90">
        <f t="shared" si="480"/>
        <v>806539.2949</v>
      </c>
      <c r="AL342" s="101">
        <f t="shared" si="342"/>
        <v>-33.05975878</v>
      </c>
    </row>
    <row r="343" ht="12.75" hidden="1" customHeight="1">
      <c r="A343" s="115">
        <v>5.0</v>
      </c>
      <c r="B343" s="67" t="s">
        <v>1050</v>
      </c>
      <c r="C343" s="67">
        <v>150.0</v>
      </c>
      <c r="D343" s="67"/>
      <c r="E343" s="67"/>
      <c r="F343" s="67">
        <v>18.0</v>
      </c>
      <c r="G343" s="67">
        <v>18.0</v>
      </c>
      <c r="H343" s="67">
        <v>6.0</v>
      </c>
      <c r="I343" s="101">
        <f t="shared" si="474"/>
        <v>168.75</v>
      </c>
      <c r="P343" s="115">
        <f t="shared" ref="P343:Q343" si="481">+P342+1</f>
        <v>100</v>
      </c>
      <c r="Q343" s="115">
        <f t="shared" si="481"/>
        <v>99.5</v>
      </c>
      <c r="R343" s="115">
        <v>1.0</v>
      </c>
      <c r="S343" s="95">
        <f t="shared" si="330"/>
        <v>0</v>
      </c>
      <c r="T343" s="95">
        <f t="shared" si="331"/>
        <v>0</v>
      </c>
      <c r="U343" s="95">
        <f t="shared" si="332"/>
        <v>0</v>
      </c>
      <c r="V343" s="95">
        <f t="shared" si="333"/>
        <v>0</v>
      </c>
      <c r="W343" s="91">
        <f t="shared" si="334"/>
        <v>0</v>
      </c>
      <c r="X343" s="91">
        <f t="shared" si="335"/>
        <v>58.16422697</v>
      </c>
      <c r="Y343" s="101">
        <f t="shared" si="336"/>
        <v>0</v>
      </c>
      <c r="Z343" s="275">
        <f t="shared" si="337"/>
        <v>0</v>
      </c>
      <c r="AA343" s="272"/>
      <c r="AB343" s="276">
        <f t="shared" si="338"/>
        <v>0</v>
      </c>
      <c r="AC343" s="101">
        <f t="shared" si="339"/>
        <v>9837.089116</v>
      </c>
      <c r="AD343" s="101">
        <f>IF(ABS(AC343)&lt;Y343,SUM(Y$237:Y342)-AC343-SUM(Y343:Y351),0)</f>
        <v>0</v>
      </c>
      <c r="AF343" s="115">
        <f t="shared" si="344"/>
        <v>98</v>
      </c>
      <c r="AG343" s="131">
        <f t="shared" si="340"/>
        <v>1.361111111</v>
      </c>
      <c r="AH343" s="90">
        <f t="shared" si="345"/>
        <v>24396.40593</v>
      </c>
      <c r="AI343" s="90">
        <f t="shared" si="346"/>
        <v>-806539.2949</v>
      </c>
      <c r="AJ343" s="90">
        <f t="shared" ref="AJ343:AK343" si="482">-AH343</f>
        <v>-24396.40593</v>
      </c>
      <c r="AK343" s="90">
        <f t="shared" si="482"/>
        <v>806539.2949</v>
      </c>
      <c r="AL343" s="101">
        <f t="shared" si="342"/>
        <v>-33.05975878</v>
      </c>
    </row>
    <row r="344" ht="12.75" hidden="1" customHeight="1">
      <c r="A344" s="115">
        <v>6.0</v>
      </c>
      <c r="B344" s="171" t="s">
        <v>1051</v>
      </c>
      <c r="C344" s="171">
        <v>490.0</v>
      </c>
      <c r="D344" s="67"/>
      <c r="E344" s="67"/>
      <c r="F344" s="67"/>
      <c r="G344" s="67"/>
      <c r="H344" s="67"/>
      <c r="I344" s="101">
        <f t="shared" si="474"/>
        <v>0</v>
      </c>
      <c r="P344" s="115">
        <f t="shared" ref="P344:Q344" si="483">+P343+1</f>
        <v>101</v>
      </c>
      <c r="Q344" s="115">
        <f t="shared" si="483"/>
        <v>100.5</v>
      </c>
      <c r="R344" s="115">
        <v>1.0</v>
      </c>
      <c r="S344" s="95">
        <f t="shared" si="330"/>
        <v>0</v>
      </c>
      <c r="T344" s="95">
        <f t="shared" si="331"/>
        <v>0</v>
      </c>
      <c r="U344" s="95">
        <f t="shared" si="332"/>
        <v>0</v>
      </c>
      <c r="V344" s="95">
        <f t="shared" si="333"/>
        <v>0</v>
      </c>
      <c r="W344" s="91">
        <f t="shared" si="334"/>
        <v>0</v>
      </c>
      <c r="X344" s="91">
        <f t="shared" si="335"/>
        <v>58.71110351</v>
      </c>
      <c r="Y344" s="101">
        <f t="shared" si="336"/>
        <v>0</v>
      </c>
      <c r="Z344" s="275">
        <f t="shared" si="337"/>
        <v>0</v>
      </c>
      <c r="AA344" s="272"/>
      <c r="AB344" s="276">
        <f t="shared" si="338"/>
        <v>0</v>
      </c>
      <c r="AC344" s="101">
        <f t="shared" si="339"/>
        <v>9749.51676</v>
      </c>
      <c r="AD344" s="101">
        <f>IF(ABS(AC344)&lt;Y344,SUM(Y$237:Y343)-AC344-SUM(Y344:Y351),0)</f>
        <v>0</v>
      </c>
      <c r="AF344" s="115">
        <f t="shared" si="344"/>
        <v>99</v>
      </c>
      <c r="AG344" s="131">
        <f t="shared" si="340"/>
        <v>1.375</v>
      </c>
      <c r="AH344" s="90">
        <f t="shared" si="345"/>
        <v>24396.40593</v>
      </c>
      <c r="AI344" s="90">
        <f t="shared" si="346"/>
        <v>-806539.2949</v>
      </c>
      <c r="AJ344" s="90">
        <f t="shared" ref="AJ344:AK344" si="484">-AH344</f>
        <v>-24396.40593</v>
      </c>
      <c r="AK344" s="90">
        <f t="shared" si="484"/>
        <v>806539.2949</v>
      </c>
      <c r="AL344" s="101">
        <f t="shared" si="342"/>
        <v>-33.05975878</v>
      </c>
    </row>
    <row r="345" ht="12.75" hidden="1" customHeight="1">
      <c r="A345" s="115">
        <v>7.0</v>
      </c>
      <c r="B345" s="115" t="s">
        <v>1052</v>
      </c>
      <c r="C345" s="19"/>
      <c r="D345" s="2"/>
      <c r="E345" s="2"/>
      <c r="F345" s="2"/>
      <c r="G345" s="2"/>
      <c r="H345" s="3"/>
      <c r="I345" s="172"/>
      <c r="P345" s="115">
        <f t="shared" ref="P345:Q345" si="485">+P344+1</f>
        <v>102</v>
      </c>
      <c r="Q345" s="115">
        <f t="shared" si="485"/>
        <v>101.5</v>
      </c>
      <c r="R345" s="115">
        <v>1.0</v>
      </c>
      <c r="S345" s="95">
        <f t="shared" si="330"/>
        <v>0</v>
      </c>
      <c r="T345" s="95">
        <f t="shared" si="331"/>
        <v>0</v>
      </c>
      <c r="U345" s="95">
        <f t="shared" si="332"/>
        <v>0</v>
      </c>
      <c r="V345" s="95">
        <f t="shared" si="333"/>
        <v>0</v>
      </c>
      <c r="W345" s="91">
        <f t="shared" si="334"/>
        <v>0</v>
      </c>
      <c r="X345" s="91">
        <f t="shared" si="335"/>
        <v>59.25798006</v>
      </c>
      <c r="Y345" s="101">
        <f t="shared" si="336"/>
        <v>0</v>
      </c>
      <c r="Z345" s="275">
        <f t="shared" si="337"/>
        <v>0</v>
      </c>
      <c r="AA345" s="272"/>
      <c r="AB345" s="276">
        <f t="shared" si="338"/>
        <v>0</v>
      </c>
      <c r="AC345" s="101">
        <f t="shared" si="339"/>
        <v>9663.48983</v>
      </c>
      <c r="AD345" s="101">
        <f>IF(ABS(AC345)&lt;Y345,SUM(Y$237:Y344)-AC345-SUM(Y345:Y351),0)</f>
        <v>0</v>
      </c>
      <c r="AF345" s="115">
        <f t="shared" si="344"/>
        <v>100</v>
      </c>
      <c r="AG345" s="131">
        <f t="shared" si="340"/>
        <v>1.388888889</v>
      </c>
      <c r="AH345" s="90">
        <f t="shared" si="345"/>
        <v>24396.40593</v>
      </c>
      <c r="AI345" s="90">
        <f t="shared" si="346"/>
        <v>-806539.2949</v>
      </c>
      <c r="AJ345" s="90">
        <f t="shared" ref="AJ345:AK345" si="486">-AH345</f>
        <v>-24396.40593</v>
      </c>
      <c r="AK345" s="90">
        <f t="shared" si="486"/>
        <v>806539.2949</v>
      </c>
      <c r="AL345" s="101">
        <f t="shared" si="342"/>
        <v>-33.05975878</v>
      </c>
    </row>
    <row r="346" ht="12.75" hidden="1" customHeight="1">
      <c r="A346" s="115">
        <v>8.0</v>
      </c>
      <c r="B346" s="115" t="s">
        <v>1053</v>
      </c>
      <c r="C346" s="19"/>
      <c r="D346" s="2"/>
      <c r="E346" s="2"/>
      <c r="F346" s="2"/>
      <c r="G346" s="2"/>
      <c r="H346" s="3"/>
      <c r="I346" s="172"/>
      <c r="P346" s="115">
        <f t="shared" ref="P346:Q346" si="487">+P345+1</f>
        <v>103</v>
      </c>
      <c r="Q346" s="115">
        <f t="shared" si="487"/>
        <v>102.5</v>
      </c>
      <c r="R346" s="115">
        <v>2.0</v>
      </c>
      <c r="S346" s="95">
        <f t="shared" si="330"/>
        <v>0</v>
      </c>
      <c r="T346" s="95">
        <f t="shared" si="331"/>
        <v>0</v>
      </c>
      <c r="U346" s="95">
        <f t="shared" si="332"/>
        <v>0</v>
      </c>
      <c r="V346" s="95">
        <f t="shared" si="333"/>
        <v>0</v>
      </c>
      <c r="W346" s="91">
        <f t="shared" si="334"/>
        <v>0</v>
      </c>
      <c r="X346" s="91">
        <f t="shared" si="335"/>
        <v>59.80485661</v>
      </c>
      <c r="Y346" s="101">
        <f t="shared" si="336"/>
        <v>0</v>
      </c>
      <c r="Z346" s="275">
        <f t="shared" si="337"/>
        <v>0</v>
      </c>
      <c r="AA346" s="272"/>
      <c r="AB346" s="276">
        <f t="shared" si="338"/>
        <v>0</v>
      </c>
      <c r="AC346" s="101">
        <f t="shared" si="339"/>
        <v>9578.967775</v>
      </c>
      <c r="AD346" s="101">
        <f>IF(ABS(AC346)&lt;Y346,SUM(Y$237:Y345)-AC346-SUM(Y346:Y351),0)</f>
        <v>0</v>
      </c>
      <c r="AF346" s="115">
        <f t="shared" si="344"/>
        <v>101</v>
      </c>
      <c r="AG346" s="131">
        <f t="shared" si="340"/>
        <v>1.402777778</v>
      </c>
      <c r="AH346" s="90">
        <f t="shared" si="345"/>
        <v>24396.40593</v>
      </c>
      <c r="AI346" s="90">
        <f t="shared" si="346"/>
        <v>-806539.2949</v>
      </c>
      <c r="AJ346" s="90">
        <f t="shared" ref="AJ346:AK346" si="488">-AH346</f>
        <v>-24396.40593</v>
      </c>
      <c r="AK346" s="90">
        <f t="shared" si="488"/>
        <v>806539.2949</v>
      </c>
      <c r="AL346" s="101">
        <f t="shared" si="342"/>
        <v>-33.05975878</v>
      </c>
    </row>
    <row r="347" ht="12.75" hidden="1" customHeight="1">
      <c r="A347" s="104" t="s">
        <v>1054</v>
      </c>
      <c r="B347" s="2"/>
      <c r="C347" s="2"/>
      <c r="D347" s="2"/>
      <c r="E347" s="2"/>
      <c r="F347" s="2"/>
      <c r="G347" s="2"/>
      <c r="H347" s="3"/>
      <c r="I347" s="320">
        <f>SUM(I339:I346)</f>
        <v>4321.526833</v>
      </c>
      <c r="P347" s="115">
        <f t="shared" ref="P347:Q347" si="489">+P346+1</f>
        <v>104</v>
      </c>
      <c r="Q347" s="115">
        <f t="shared" si="489"/>
        <v>103.5</v>
      </c>
      <c r="R347" s="115">
        <v>3.0</v>
      </c>
      <c r="S347" s="95">
        <f t="shared" si="330"/>
        <v>0</v>
      </c>
      <c r="T347" s="95">
        <f t="shared" si="331"/>
        <v>0</v>
      </c>
      <c r="U347" s="95">
        <f t="shared" si="332"/>
        <v>0</v>
      </c>
      <c r="V347" s="95">
        <f t="shared" si="333"/>
        <v>0</v>
      </c>
      <c r="W347" s="91">
        <f t="shared" si="334"/>
        <v>0</v>
      </c>
      <c r="X347" s="91">
        <f t="shared" si="335"/>
        <v>60.35173315</v>
      </c>
      <c r="Y347" s="101">
        <f t="shared" si="336"/>
        <v>0</v>
      </c>
      <c r="Z347" s="275">
        <f t="shared" si="337"/>
        <v>0</v>
      </c>
      <c r="AA347" s="272"/>
      <c r="AB347" s="276">
        <f t="shared" si="338"/>
        <v>0</v>
      </c>
      <c r="AC347" s="101">
        <f t="shared" si="339"/>
        <v>9495.911451</v>
      </c>
      <c r="AD347" s="101">
        <f>IF(ABS(AC347)&lt;Y347,SUM(Y$237:Y346)-AC347-SUM(Y347:Y351),0)</f>
        <v>0</v>
      </c>
      <c r="AF347" s="115">
        <f t="shared" si="344"/>
        <v>102</v>
      </c>
      <c r="AG347" s="131">
        <f t="shared" si="340"/>
        <v>1.416666667</v>
      </c>
      <c r="AH347" s="90">
        <f t="shared" si="345"/>
        <v>24396.40593</v>
      </c>
      <c r="AI347" s="90">
        <f t="shared" si="346"/>
        <v>-806539.2949</v>
      </c>
      <c r="AJ347" s="90">
        <f t="shared" ref="AJ347:AK347" si="490">-AH347</f>
        <v>-24396.40593</v>
      </c>
      <c r="AK347" s="90">
        <f t="shared" si="490"/>
        <v>806539.2949</v>
      </c>
      <c r="AL347" s="101">
        <f t="shared" si="342"/>
        <v>-33.05975878</v>
      </c>
    </row>
    <row r="348" ht="12.75" hidden="1" customHeight="1">
      <c r="A348" s="321" t="s">
        <v>1055</v>
      </c>
      <c r="B348" s="6"/>
      <c r="C348" s="6"/>
      <c r="D348" s="6"/>
      <c r="E348" s="6"/>
      <c r="F348" s="6"/>
      <c r="G348" s="6"/>
      <c r="H348" s="6"/>
      <c r="I348" s="103"/>
      <c r="P348" s="115">
        <f t="shared" ref="P348:Q348" si="491">+P347+1</f>
        <v>105</v>
      </c>
      <c r="Q348" s="115">
        <f t="shared" si="491"/>
        <v>104.5</v>
      </c>
      <c r="R348" s="115">
        <v>4.0</v>
      </c>
      <c r="S348" s="95">
        <f t="shared" si="330"/>
        <v>0</v>
      </c>
      <c r="T348" s="95">
        <f t="shared" si="331"/>
        <v>0</v>
      </c>
      <c r="U348" s="95">
        <f t="shared" si="332"/>
        <v>0</v>
      </c>
      <c r="V348" s="95">
        <f t="shared" si="333"/>
        <v>0</v>
      </c>
      <c r="W348" s="91">
        <f t="shared" si="334"/>
        <v>0</v>
      </c>
      <c r="X348" s="91">
        <f t="shared" si="335"/>
        <v>60.8986097</v>
      </c>
      <c r="Y348" s="101">
        <f t="shared" si="336"/>
        <v>0</v>
      </c>
      <c r="Z348" s="275">
        <f t="shared" si="337"/>
        <v>0</v>
      </c>
      <c r="AA348" s="272"/>
      <c r="AB348" s="276">
        <f t="shared" si="338"/>
        <v>0</v>
      </c>
      <c r="AC348" s="101">
        <f t="shared" si="339"/>
        <v>9414.283058</v>
      </c>
      <c r="AD348" s="101">
        <f>IF(ABS(AC348)&lt;Y348,SUM(Y$237:Y347)-AC348-SUM(Y348:Y351),0)</f>
        <v>0</v>
      </c>
      <c r="AF348" s="115">
        <f t="shared" si="344"/>
        <v>103</v>
      </c>
      <c r="AG348" s="131">
        <f t="shared" si="340"/>
        <v>1.430555556</v>
      </c>
      <c r="AH348" s="90">
        <f t="shared" si="345"/>
        <v>24396.40593</v>
      </c>
      <c r="AI348" s="90">
        <f t="shared" si="346"/>
        <v>-806539.2949</v>
      </c>
      <c r="AJ348" s="90">
        <f t="shared" ref="AJ348:AK348" si="492">-AH348</f>
        <v>-24396.40593</v>
      </c>
      <c r="AK348" s="90">
        <f t="shared" si="492"/>
        <v>806539.2949</v>
      </c>
      <c r="AL348" s="101">
        <f t="shared" si="342"/>
        <v>-33.05975878</v>
      </c>
    </row>
    <row r="349" ht="12.75" hidden="1" customHeight="1">
      <c r="A349" s="108" t="s">
        <v>1056</v>
      </c>
      <c r="B349" s="53"/>
      <c r="C349" s="53"/>
      <c r="D349" s="53"/>
      <c r="E349" s="53"/>
      <c r="F349" s="53"/>
      <c r="G349" s="53"/>
      <c r="H349" s="53"/>
      <c r="I349" s="109"/>
      <c r="P349" s="115">
        <f t="shared" ref="P349:Q349" si="493">+P348+1</f>
        <v>106</v>
      </c>
      <c r="Q349" s="115">
        <f t="shared" si="493"/>
        <v>105.5</v>
      </c>
      <c r="R349" s="115">
        <v>5.0</v>
      </c>
      <c r="S349" s="95">
        <f t="shared" si="330"/>
        <v>0</v>
      </c>
      <c r="T349" s="95">
        <f t="shared" si="331"/>
        <v>0</v>
      </c>
      <c r="U349" s="95">
        <f t="shared" si="332"/>
        <v>0</v>
      </c>
      <c r="V349" s="95">
        <f t="shared" si="333"/>
        <v>0</v>
      </c>
      <c r="W349" s="91">
        <f t="shared" si="334"/>
        <v>0</v>
      </c>
      <c r="X349" s="91">
        <f t="shared" si="335"/>
        <v>61.44548625</v>
      </c>
      <c r="Y349" s="101">
        <f t="shared" si="336"/>
        <v>0</v>
      </c>
      <c r="Z349" s="275">
        <f t="shared" si="337"/>
        <v>0</v>
      </c>
      <c r="AA349" s="272"/>
      <c r="AB349" s="276">
        <f t="shared" si="338"/>
        <v>0</v>
      </c>
      <c r="AC349" s="101">
        <f t="shared" si="339"/>
        <v>9334.046086</v>
      </c>
      <c r="AD349" s="101">
        <f>IF(ABS(AC349)&lt;Y349,SUM(Y$237:Y348)-AC349-SUM(Y349:Y351),0)</f>
        <v>0</v>
      </c>
      <c r="AF349" s="115">
        <f t="shared" si="344"/>
        <v>104</v>
      </c>
      <c r="AG349" s="131">
        <f t="shared" si="340"/>
        <v>1.444444444</v>
      </c>
      <c r="AH349" s="90">
        <f t="shared" si="345"/>
        <v>24396.40593</v>
      </c>
      <c r="AI349" s="90">
        <f t="shared" si="346"/>
        <v>-806539.2949</v>
      </c>
      <c r="AJ349" s="90">
        <f t="shared" ref="AJ349:AK349" si="494">-AH349</f>
        <v>-24396.40593</v>
      </c>
      <c r="AK349" s="90">
        <f t="shared" si="494"/>
        <v>806539.2949</v>
      </c>
      <c r="AL349" s="101">
        <f t="shared" si="342"/>
        <v>-33.05975878</v>
      </c>
    </row>
    <row r="350" ht="12.75" customHeight="1">
      <c r="P350" s="115">
        <f t="shared" ref="P350:Q350" si="495">+P349+1</f>
        <v>107</v>
      </c>
      <c r="Q350" s="115">
        <f t="shared" si="495"/>
        <v>106.5</v>
      </c>
      <c r="R350" s="115">
        <v>6.0</v>
      </c>
      <c r="S350" s="95">
        <f t="shared" si="330"/>
        <v>0</v>
      </c>
      <c r="T350" s="95">
        <f t="shared" si="331"/>
        <v>0</v>
      </c>
      <c r="U350" s="95">
        <f t="shared" si="332"/>
        <v>0</v>
      </c>
      <c r="V350" s="95">
        <f t="shared" si="333"/>
        <v>0</v>
      </c>
      <c r="W350" s="91">
        <f t="shared" si="334"/>
        <v>0</v>
      </c>
      <c r="X350" s="91">
        <f t="shared" si="335"/>
        <v>61.99236279</v>
      </c>
      <c r="Y350" s="101">
        <f t="shared" si="336"/>
        <v>0</v>
      </c>
      <c r="Z350" s="275">
        <f t="shared" si="337"/>
        <v>0</v>
      </c>
      <c r="AA350" s="272"/>
      <c r="AB350" s="276">
        <f t="shared" si="338"/>
        <v>0</v>
      </c>
      <c r="AC350" s="101">
        <f t="shared" si="339"/>
        <v>9255.165258</v>
      </c>
      <c r="AD350" s="101">
        <f>IF(ABS(AC350)&lt;Y350,SUM(Y$237:Y349)-AC350-SUM(Y350:Y351),0)</f>
        <v>0</v>
      </c>
      <c r="AF350" s="115">
        <f t="shared" si="344"/>
        <v>105</v>
      </c>
      <c r="AG350" s="131">
        <f t="shared" si="340"/>
        <v>1.458333333</v>
      </c>
      <c r="AH350" s="90">
        <f t="shared" si="345"/>
        <v>24396.40593</v>
      </c>
      <c r="AI350" s="90">
        <f t="shared" si="346"/>
        <v>-806539.2949</v>
      </c>
      <c r="AJ350" s="90">
        <f t="shared" ref="AJ350:AK350" si="496">-AH350</f>
        <v>-24396.40593</v>
      </c>
      <c r="AK350" s="90">
        <f t="shared" si="496"/>
        <v>806539.2949</v>
      </c>
      <c r="AL350" s="101">
        <f t="shared" si="342"/>
        <v>-33.05975878</v>
      </c>
    </row>
    <row r="351" ht="12.75" customHeight="1">
      <c r="P351" s="115">
        <f t="shared" ref="P351:Q351" si="497">+P350+1</f>
        <v>108</v>
      </c>
      <c r="Q351" s="115">
        <f t="shared" si="497"/>
        <v>107.5</v>
      </c>
      <c r="R351" s="115">
        <v>7.0</v>
      </c>
      <c r="S351" s="95">
        <f t="shared" si="330"/>
        <v>0</v>
      </c>
      <c r="T351" s="95">
        <f t="shared" si="331"/>
        <v>0</v>
      </c>
      <c r="U351" s="95">
        <f t="shared" si="332"/>
        <v>0</v>
      </c>
      <c r="V351" s="95">
        <f t="shared" si="333"/>
        <v>0</v>
      </c>
      <c r="W351" s="91">
        <f t="shared" si="334"/>
        <v>0</v>
      </c>
      <c r="X351" s="91">
        <f t="shared" si="335"/>
        <v>62.53923934</v>
      </c>
      <c r="Y351" s="101">
        <f t="shared" si="336"/>
        <v>0</v>
      </c>
      <c r="Z351" s="275">
        <f t="shared" si="337"/>
        <v>0</v>
      </c>
      <c r="AA351" s="272"/>
      <c r="AB351" s="276">
        <f t="shared" si="338"/>
        <v>0</v>
      </c>
      <c r="AC351" s="101">
        <f t="shared" si="339"/>
        <v>9177.606482</v>
      </c>
      <c r="AD351" s="101">
        <f>IF(ABS(AC351)&lt;Y351,SUM(Y$237:Y350)-AC351-SUM(Y351),0)</f>
        <v>0</v>
      </c>
      <c r="AF351" s="115">
        <f t="shared" si="344"/>
        <v>106</v>
      </c>
      <c r="AG351" s="131">
        <f t="shared" si="340"/>
        <v>1.472222222</v>
      </c>
      <c r="AH351" s="90">
        <f t="shared" si="345"/>
        <v>24396.40593</v>
      </c>
      <c r="AI351" s="90">
        <f t="shared" si="346"/>
        <v>-806539.2949</v>
      </c>
      <c r="AJ351" s="90">
        <f t="shared" ref="AJ351:AK351" si="498">-AH351</f>
        <v>-24396.40593</v>
      </c>
      <c r="AK351" s="90">
        <f t="shared" si="498"/>
        <v>806539.2949</v>
      </c>
      <c r="AL351" s="101">
        <f t="shared" si="342"/>
        <v>-33.05975878</v>
      </c>
    </row>
    <row r="352" ht="12.75" customHeight="1">
      <c r="P352" s="37"/>
      <c r="Q352" s="37"/>
      <c r="R352" s="37"/>
      <c r="S352" s="37"/>
      <c r="T352" s="37"/>
      <c r="U352" s="37"/>
      <c r="V352" s="37"/>
      <c r="W352" s="137"/>
      <c r="X352" s="137"/>
      <c r="Y352" s="322"/>
      <c r="Z352" s="323"/>
      <c r="AA352" s="323"/>
      <c r="AB352" s="323"/>
      <c r="AC352" s="322"/>
      <c r="AD352" s="101">
        <f>SUM(AD237:AD351)</f>
        <v>6581.735397</v>
      </c>
      <c r="AF352" s="115">
        <f t="shared" si="344"/>
        <v>107</v>
      </c>
      <c r="AG352" s="131">
        <f t="shared" si="340"/>
        <v>1.486111111</v>
      </c>
      <c r="AH352" s="90">
        <f t="shared" si="345"/>
        <v>24396.40593</v>
      </c>
      <c r="AI352" s="90">
        <f t="shared" si="346"/>
        <v>-806539.2949</v>
      </c>
      <c r="AJ352" s="90">
        <f t="shared" ref="AJ352:AK352" si="499">-AH352</f>
        <v>-24396.40593</v>
      </c>
      <c r="AK352" s="90">
        <f t="shared" si="499"/>
        <v>806539.2949</v>
      </c>
      <c r="AL352" s="101">
        <f t="shared" si="342"/>
        <v>-33.05975878</v>
      </c>
    </row>
    <row r="353" ht="12.75" customHeight="1">
      <c r="G353" s="37"/>
      <c r="H353" s="150"/>
      <c r="I353" s="137"/>
      <c r="J353" s="137"/>
      <c r="K353" s="137"/>
      <c r="L353" s="137"/>
      <c r="M353" s="137"/>
      <c r="N353" s="137"/>
    </row>
    <row r="354" ht="12.75" customHeight="1">
      <c r="G354" s="37"/>
      <c r="H354" s="150"/>
      <c r="I354" s="137"/>
      <c r="J354" s="137"/>
      <c r="K354" s="137"/>
      <c r="L354" s="137"/>
      <c r="M354" s="137"/>
      <c r="N354" s="137"/>
    </row>
    <row r="355" ht="12.75" customHeight="1">
      <c r="G355" s="37"/>
      <c r="H355" s="150"/>
      <c r="I355" s="137"/>
      <c r="J355" s="137"/>
      <c r="K355" s="137"/>
      <c r="L355" s="137"/>
      <c r="M355" s="137"/>
      <c r="N355" s="137"/>
    </row>
    <row r="356" ht="12.75" customHeight="1">
      <c r="G356" s="37"/>
      <c r="H356" s="150"/>
      <c r="I356" s="137"/>
      <c r="J356" s="137"/>
      <c r="K356" s="137"/>
      <c r="L356" s="137"/>
      <c r="M356" s="137"/>
      <c r="N356" s="137"/>
    </row>
    <row r="357" ht="12.75" customHeight="1">
      <c r="G357" s="37"/>
      <c r="H357" s="150"/>
      <c r="I357" s="137"/>
      <c r="J357" s="137"/>
      <c r="K357" s="137"/>
      <c r="L357" s="137"/>
      <c r="M357" s="137"/>
      <c r="N357" s="137"/>
    </row>
    <row r="358" ht="12.75" customHeight="1">
      <c r="G358" s="37"/>
      <c r="H358" s="150"/>
      <c r="I358" s="137"/>
      <c r="J358" s="137"/>
      <c r="K358" s="137"/>
      <c r="L358" s="137"/>
      <c r="M358" s="137"/>
      <c r="N358" s="137"/>
    </row>
    <row r="359" ht="12.75" customHeight="1">
      <c r="G359" s="37"/>
      <c r="H359" s="150"/>
      <c r="I359" s="137"/>
      <c r="J359" s="137"/>
      <c r="K359" s="137"/>
      <c r="L359" s="137"/>
      <c r="M359" s="137"/>
      <c r="N359" s="137"/>
    </row>
    <row r="360" ht="12.75" customHeight="1">
      <c r="G360" s="37"/>
      <c r="H360" s="150"/>
      <c r="I360" s="137"/>
      <c r="J360" s="137"/>
      <c r="K360" s="137"/>
      <c r="L360" s="137"/>
      <c r="M360" s="137"/>
      <c r="N360" s="137"/>
    </row>
    <row r="361" ht="12.75" customHeight="1">
      <c r="G361" s="37"/>
      <c r="H361" s="150"/>
      <c r="I361" s="137"/>
      <c r="J361" s="137"/>
      <c r="K361" s="137"/>
      <c r="L361" s="137"/>
      <c r="M361" s="137"/>
      <c r="N361" s="137"/>
    </row>
    <row r="362" ht="12.75" customHeight="1">
      <c r="G362" s="37"/>
      <c r="H362" s="150"/>
      <c r="I362" s="137"/>
      <c r="J362" s="137"/>
      <c r="K362" s="137"/>
      <c r="L362" s="137"/>
      <c r="M362" s="137"/>
      <c r="N362" s="137"/>
    </row>
    <row r="363" ht="12.75" customHeight="1">
      <c r="G363" s="37"/>
      <c r="H363" s="150"/>
      <c r="I363" s="137"/>
      <c r="J363" s="137"/>
      <c r="K363" s="137"/>
      <c r="L363" s="137"/>
      <c r="M363" s="137"/>
      <c r="N363" s="137"/>
    </row>
    <row r="364" ht="12.75" customHeight="1">
      <c r="G364" s="37"/>
      <c r="H364" s="150"/>
      <c r="I364" s="137"/>
      <c r="J364" s="137"/>
      <c r="K364" s="137"/>
      <c r="L364" s="137"/>
      <c r="M364" s="137"/>
      <c r="N364" s="137"/>
    </row>
    <row r="365" ht="12.75" customHeight="1">
      <c r="G365" s="37"/>
      <c r="H365" s="150"/>
      <c r="I365" s="137"/>
      <c r="J365" s="137"/>
      <c r="K365" s="137"/>
      <c r="L365" s="137"/>
      <c r="M365" s="137"/>
      <c r="N365" s="137"/>
    </row>
    <row r="366" ht="12.75" customHeight="1">
      <c r="G366" s="37"/>
      <c r="H366" s="150"/>
      <c r="I366" s="137"/>
      <c r="J366" s="137"/>
      <c r="K366" s="137"/>
      <c r="L366" s="137"/>
      <c r="M366" s="137"/>
      <c r="N366" s="137"/>
    </row>
    <row r="367" ht="12.75" customHeight="1">
      <c r="G367" s="37"/>
      <c r="H367" s="150"/>
      <c r="I367" s="137"/>
      <c r="J367" s="137"/>
      <c r="K367" s="137"/>
      <c r="L367" s="137"/>
      <c r="M367" s="137"/>
      <c r="N367" s="137"/>
    </row>
    <row r="368" ht="12.75" customHeight="1">
      <c r="G368" s="37"/>
      <c r="H368" s="150"/>
      <c r="I368" s="137"/>
      <c r="J368" s="137"/>
      <c r="K368" s="137"/>
      <c r="L368" s="137"/>
      <c r="M368" s="137"/>
      <c r="N368" s="137"/>
    </row>
    <row r="369" ht="12.75" customHeight="1">
      <c r="G369" s="37"/>
      <c r="H369" s="150"/>
      <c r="I369" s="137"/>
      <c r="J369" s="137"/>
      <c r="K369" s="137"/>
      <c r="L369" s="137"/>
      <c r="M369" s="137"/>
      <c r="N369" s="137"/>
    </row>
    <row r="370" ht="12.75" customHeight="1">
      <c r="G370" s="37"/>
      <c r="H370" s="150"/>
      <c r="I370" s="137"/>
      <c r="J370" s="137"/>
      <c r="K370" s="137"/>
      <c r="L370" s="137"/>
      <c r="M370" s="137"/>
      <c r="N370" s="137"/>
    </row>
    <row r="371" ht="12.75" customHeight="1">
      <c r="G371" s="37"/>
      <c r="H371" s="150"/>
      <c r="I371" s="137"/>
      <c r="J371" s="137"/>
      <c r="K371" s="137"/>
      <c r="L371" s="137"/>
      <c r="M371" s="137"/>
      <c r="N371" s="137"/>
    </row>
    <row r="372" ht="12.75" customHeight="1">
      <c r="G372" s="37"/>
      <c r="H372" s="150"/>
      <c r="I372" s="137"/>
      <c r="J372" s="137"/>
      <c r="K372" s="137"/>
      <c r="L372" s="137"/>
      <c r="M372" s="137"/>
      <c r="N372" s="137"/>
    </row>
    <row r="373" ht="12.75" customHeight="1">
      <c r="G373" s="37"/>
      <c r="H373" s="150"/>
      <c r="I373" s="137"/>
      <c r="J373" s="137"/>
      <c r="K373" s="137"/>
      <c r="L373" s="137"/>
      <c r="M373" s="137"/>
      <c r="N373" s="137"/>
    </row>
    <row r="374" ht="12.75" customHeight="1">
      <c r="G374" s="37"/>
      <c r="H374" s="150"/>
      <c r="I374" s="137"/>
      <c r="J374" s="137"/>
      <c r="K374" s="137"/>
      <c r="L374" s="137"/>
      <c r="M374" s="137"/>
      <c r="N374" s="137"/>
    </row>
    <row r="375" ht="12.75" customHeight="1">
      <c r="G375" s="37"/>
      <c r="H375" s="150"/>
      <c r="I375" s="137"/>
      <c r="J375" s="137"/>
      <c r="K375" s="137"/>
      <c r="L375" s="137"/>
      <c r="M375" s="137"/>
      <c r="N375" s="137"/>
    </row>
    <row r="376" ht="12.75" customHeight="1">
      <c r="G376" s="37"/>
      <c r="H376" s="150"/>
      <c r="I376" s="137"/>
      <c r="J376" s="137"/>
      <c r="K376" s="137"/>
      <c r="L376" s="137"/>
      <c r="M376" s="137"/>
      <c r="N376" s="137"/>
    </row>
    <row r="377" ht="12.75" customHeight="1">
      <c r="G377" s="37"/>
      <c r="H377" s="150"/>
      <c r="I377" s="137"/>
      <c r="J377" s="137"/>
      <c r="K377" s="137"/>
      <c r="L377" s="137"/>
      <c r="M377" s="137"/>
      <c r="N377" s="137"/>
    </row>
    <row r="378" ht="12.75" customHeight="1">
      <c r="G378" s="37"/>
      <c r="H378" s="150"/>
      <c r="I378" s="137"/>
      <c r="J378" s="137"/>
      <c r="K378" s="137"/>
      <c r="L378" s="137"/>
      <c r="M378" s="137"/>
      <c r="N378" s="137"/>
    </row>
    <row r="379" ht="12.75" customHeight="1">
      <c r="G379" s="37"/>
      <c r="H379" s="150"/>
      <c r="I379" s="137"/>
      <c r="J379" s="137"/>
      <c r="K379" s="137"/>
      <c r="L379" s="137"/>
      <c r="M379" s="137"/>
      <c r="N379" s="137"/>
    </row>
    <row r="380" ht="12.75" customHeight="1">
      <c r="G380" s="37"/>
      <c r="H380" s="150"/>
      <c r="I380" s="137"/>
      <c r="J380" s="137"/>
      <c r="K380" s="137"/>
      <c r="L380" s="137"/>
      <c r="M380" s="137"/>
      <c r="N380" s="137"/>
    </row>
    <row r="381" ht="12.75" customHeight="1">
      <c r="G381" s="37"/>
      <c r="H381" s="150"/>
      <c r="I381" s="137"/>
      <c r="J381" s="137"/>
      <c r="K381" s="137"/>
      <c r="L381" s="137"/>
      <c r="M381" s="137"/>
      <c r="N381" s="137"/>
    </row>
    <row r="382" ht="12.75" customHeight="1">
      <c r="G382" s="37"/>
      <c r="H382" s="150"/>
      <c r="I382" s="137"/>
      <c r="J382" s="137"/>
      <c r="K382" s="137"/>
      <c r="L382" s="137"/>
      <c r="M382" s="137"/>
      <c r="N382" s="137"/>
    </row>
    <row r="383" ht="12.75" customHeight="1">
      <c r="G383" s="37"/>
      <c r="H383" s="150"/>
      <c r="I383" s="137"/>
      <c r="J383" s="137"/>
      <c r="K383" s="137"/>
      <c r="L383" s="137"/>
      <c r="M383" s="137"/>
      <c r="N383" s="137"/>
    </row>
    <row r="384" ht="12.75" customHeight="1">
      <c r="G384" s="37"/>
      <c r="H384" s="150"/>
      <c r="I384" s="137"/>
      <c r="J384" s="137"/>
      <c r="K384" s="137"/>
      <c r="L384" s="137"/>
      <c r="M384" s="137"/>
      <c r="N384" s="137"/>
    </row>
    <row r="385" ht="12.75" customHeight="1">
      <c r="G385" s="37"/>
      <c r="H385" s="150"/>
      <c r="I385" s="137"/>
      <c r="J385" s="137"/>
      <c r="K385" s="137"/>
      <c r="L385" s="137"/>
      <c r="M385" s="137"/>
      <c r="N385" s="137"/>
    </row>
    <row r="386" ht="12.75" customHeight="1">
      <c r="G386" s="37"/>
      <c r="H386" s="150"/>
      <c r="I386" s="137"/>
      <c r="J386" s="137"/>
      <c r="K386" s="137"/>
      <c r="L386" s="137"/>
      <c r="M386" s="137"/>
      <c r="N386" s="137"/>
    </row>
    <row r="387" ht="12.75" customHeight="1">
      <c r="G387" s="37"/>
      <c r="H387" s="150"/>
      <c r="I387" s="137"/>
      <c r="J387" s="137"/>
      <c r="K387" s="137"/>
      <c r="L387" s="137"/>
      <c r="M387" s="137"/>
      <c r="N387" s="137"/>
    </row>
    <row r="388" ht="12.75" customHeight="1">
      <c r="G388" s="37"/>
      <c r="H388" s="150"/>
      <c r="I388" s="137"/>
      <c r="J388" s="137"/>
      <c r="K388" s="137"/>
      <c r="L388" s="137"/>
      <c r="M388" s="137"/>
      <c r="N388" s="137"/>
    </row>
    <row r="389" ht="12.75" customHeight="1">
      <c r="G389" s="37"/>
      <c r="H389" s="150"/>
      <c r="I389" s="137"/>
      <c r="J389" s="137"/>
      <c r="K389" s="137"/>
      <c r="L389" s="137"/>
      <c r="M389" s="137"/>
      <c r="N389" s="137"/>
    </row>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sheetData>
  <mergeCells count="312">
    <mergeCell ref="A323:A328"/>
    <mergeCell ref="A336:A338"/>
    <mergeCell ref="B336:B338"/>
    <mergeCell ref="C336:C337"/>
    <mergeCell ref="A301:A307"/>
    <mergeCell ref="A315:A317"/>
    <mergeCell ref="B315:B317"/>
    <mergeCell ref="C315:C317"/>
    <mergeCell ref="A318:A322"/>
    <mergeCell ref="B318:B322"/>
    <mergeCell ref="B323:B328"/>
    <mergeCell ref="A279:F279"/>
    <mergeCell ref="A280:F280"/>
    <mergeCell ref="A256:A259"/>
    <mergeCell ref="E256:E257"/>
    <mergeCell ref="A269:B269"/>
    <mergeCell ref="A271:C271"/>
    <mergeCell ref="A272:B272"/>
    <mergeCell ref="A273:B273"/>
    <mergeCell ref="A277:B277"/>
    <mergeCell ref="A298:A299"/>
    <mergeCell ref="B298:B299"/>
    <mergeCell ref="C298:C299"/>
    <mergeCell ref="D298:D299"/>
    <mergeCell ref="E298:E299"/>
    <mergeCell ref="F298:F299"/>
    <mergeCell ref="A310:B310"/>
    <mergeCell ref="G323:H323"/>
    <mergeCell ref="G324:H324"/>
    <mergeCell ref="D315:F315"/>
    <mergeCell ref="D316:F316"/>
    <mergeCell ref="G316:I316"/>
    <mergeCell ref="D317:E317"/>
    <mergeCell ref="G317:H317"/>
    <mergeCell ref="D323:E323"/>
    <mergeCell ref="D324:E324"/>
    <mergeCell ref="D325:E325"/>
    <mergeCell ref="G325:H325"/>
    <mergeCell ref="D326:E326"/>
    <mergeCell ref="G326:H326"/>
    <mergeCell ref="D327:E327"/>
    <mergeCell ref="G327:H327"/>
    <mergeCell ref="D328:E328"/>
    <mergeCell ref="F336:H336"/>
    <mergeCell ref="C345:H345"/>
    <mergeCell ref="C346:H346"/>
    <mergeCell ref="A347:H347"/>
    <mergeCell ref="A348:I348"/>
    <mergeCell ref="A349:I349"/>
    <mergeCell ref="G328:H328"/>
    <mergeCell ref="A329:I329"/>
    <mergeCell ref="A330:I330"/>
    <mergeCell ref="A331:I331"/>
    <mergeCell ref="A334:I334"/>
    <mergeCell ref="D336:E336"/>
    <mergeCell ref="I336:I337"/>
    <mergeCell ref="A20:B20"/>
    <mergeCell ref="A21:B21"/>
    <mergeCell ref="A23:H23"/>
    <mergeCell ref="P23:AD23"/>
    <mergeCell ref="B2:C7"/>
    <mergeCell ref="D2:F7"/>
    <mergeCell ref="H3:I3"/>
    <mergeCell ref="H4:I4"/>
    <mergeCell ref="H5:I5"/>
    <mergeCell ref="H6:I6"/>
    <mergeCell ref="A19:C19"/>
    <mergeCell ref="R24:R27"/>
    <mergeCell ref="S24:T26"/>
    <mergeCell ref="U24:V26"/>
    <mergeCell ref="W24:W26"/>
    <mergeCell ref="X24:Y26"/>
    <mergeCell ref="Z24:AA26"/>
    <mergeCell ref="AB24:AC26"/>
    <mergeCell ref="AD24:AD27"/>
    <mergeCell ref="E25:E28"/>
    <mergeCell ref="F25:F28"/>
    <mergeCell ref="P28:P30"/>
    <mergeCell ref="Q28:Q30"/>
    <mergeCell ref="U28:V30"/>
    <mergeCell ref="W28:W30"/>
    <mergeCell ref="AD28:AD30"/>
    <mergeCell ref="AD31:AD32"/>
    <mergeCell ref="B29:B30"/>
    <mergeCell ref="C29:C30"/>
    <mergeCell ref="D29:D30"/>
    <mergeCell ref="E29:E30"/>
    <mergeCell ref="G25:G28"/>
    <mergeCell ref="H25:H28"/>
    <mergeCell ref="A24:A30"/>
    <mergeCell ref="B24:B28"/>
    <mergeCell ref="C24:C28"/>
    <mergeCell ref="D24:D28"/>
    <mergeCell ref="E24:F24"/>
    <mergeCell ref="Q24:Q27"/>
    <mergeCell ref="H29:H30"/>
    <mergeCell ref="U33:V35"/>
    <mergeCell ref="X33:Y35"/>
    <mergeCell ref="AD33:AD35"/>
    <mergeCell ref="P24:P27"/>
    <mergeCell ref="P31:P32"/>
    <mergeCell ref="Q31:Q32"/>
    <mergeCell ref="U31:V32"/>
    <mergeCell ref="W31:W32"/>
    <mergeCell ref="P33:P35"/>
    <mergeCell ref="Q33:Q35"/>
    <mergeCell ref="P36:P38"/>
    <mergeCell ref="Q36:Q38"/>
    <mergeCell ref="S36:S38"/>
    <mergeCell ref="T36:T38"/>
    <mergeCell ref="U36:V38"/>
    <mergeCell ref="X36:Y38"/>
    <mergeCell ref="AD36:AD38"/>
    <mergeCell ref="B42:B44"/>
    <mergeCell ref="C42:C44"/>
    <mergeCell ref="I42:I44"/>
    <mergeCell ref="J42:J44"/>
    <mergeCell ref="K42:K44"/>
    <mergeCell ref="L42:L44"/>
    <mergeCell ref="M42:M44"/>
    <mergeCell ref="N42:N44"/>
    <mergeCell ref="P43:AD43"/>
    <mergeCell ref="P44:AD44"/>
    <mergeCell ref="P45:AD45"/>
    <mergeCell ref="P46:AD46"/>
    <mergeCell ref="P47:AD47"/>
    <mergeCell ref="P39:P41"/>
    <mergeCell ref="Q39:Q41"/>
    <mergeCell ref="U39:V41"/>
    <mergeCell ref="X39:Y41"/>
    <mergeCell ref="AD39:AD41"/>
    <mergeCell ref="A41:N41"/>
    <mergeCell ref="P42:AD42"/>
    <mergeCell ref="F29:F30"/>
    <mergeCell ref="G29:G30"/>
    <mergeCell ref="A33:H33"/>
    <mergeCell ref="B34:C34"/>
    <mergeCell ref="F34:H34"/>
    <mergeCell ref="F35:H35"/>
    <mergeCell ref="F36:H36"/>
    <mergeCell ref="D42:D44"/>
    <mergeCell ref="E42:E44"/>
    <mergeCell ref="D45:D46"/>
    <mergeCell ref="E45:E46"/>
    <mergeCell ref="B35:C35"/>
    <mergeCell ref="A37:A38"/>
    <mergeCell ref="B37:C38"/>
    <mergeCell ref="D37:D38"/>
    <mergeCell ref="E37:E38"/>
    <mergeCell ref="F37:H38"/>
    <mergeCell ref="H42:H44"/>
    <mergeCell ref="K45:K46"/>
    <mergeCell ref="L45:L46"/>
    <mergeCell ref="M45:M46"/>
    <mergeCell ref="N45:N46"/>
    <mergeCell ref="F42:F44"/>
    <mergeCell ref="G42:G44"/>
    <mergeCell ref="F45:F46"/>
    <mergeCell ref="G45:G46"/>
    <mergeCell ref="H45:H46"/>
    <mergeCell ref="I45:I46"/>
    <mergeCell ref="J45:J46"/>
    <mergeCell ref="A42:A46"/>
    <mergeCell ref="B45:B46"/>
    <mergeCell ref="C45:C46"/>
    <mergeCell ref="A156:C156"/>
    <mergeCell ref="A157:B157"/>
    <mergeCell ref="A158:B158"/>
    <mergeCell ref="A160:B160"/>
    <mergeCell ref="A161:B161"/>
    <mergeCell ref="A162:B162"/>
    <mergeCell ref="A163:B163"/>
    <mergeCell ref="D163:E163"/>
    <mergeCell ref="A165:F165"/>
    <mergeCell ref="H165:P165"/>
    <mergeCell ref="Q165:Y165"/>
    <mergeCell ref="N167:P167"/>
    <mergeCell ref="Q167:Y167"/>
    <mergeCell ref="A166:F166"/>
    <mergeCell ref="K166:M166"/>
    <mergeCell ref="Q166:Y166"/>
    <mergeCell ref="H167:H168"/>
    <mergeCell ref="I167:I168"/>
    <mergeCell ref="J167:J168"/>
    <mergeCell ref="K167:M167"/>
    <mergeCell ref="K168:L168"/>
    <mergeCell ref="N168:O168"/>
    <mergeCell ref="H169:H176"/>
    <mergeCell ref="I169:I173"/>
    <mergeCell ref="K174:L174"/>
    <mergeCell ref="N174:O174"/>
    <mergeCell ref="N175:O175"/>
    <mergeCell ref="N178:O178"/>
    <mergeCell ref="N179:O179"/>
    <mergeCell ref="N181:O181"/>
    <mergeCell ref="N182:O182"/>
    <mergeCell ref="N183:O183"/>
    <mergeCell ref="N184:O184"/>
    <mergeCell ref="K179:L179"/>
    <mergeCell ref="K180:L180"/>
    <mergeCell ref="A179:A180"/>
    <mergeCell ref="A181:A182"/>
    <mergeCell ref="B181:B182"/>
    <mergeCell ref="C181:C182"/>
    <mergeCell ref="D181:D182"/>
    <mergeCell ref="E181:E182"/>
    <mergeCell ref="N176:O176"/>
    <mergeCell ref="N177:O177"/>
    <mergeCell ref="B179:B180"/>
    <mergeCell ref="C179:C180"/>
    <mergeCell ref="D179:D180"/>
    <mergeCell ref="E179:E180"/>
    <mergeCell ref="N180:O180"/>
    <mergeCell ref="AH233:AI233"/>
    <mergeCell ref="AJ233:AK233"/>
    <mergeCell ref="AL233:AL236"/>
    <mergeCell ref="AH234:AH236"/>
    <mergeCell ref="AI234:AI236"/>
    <mergeCell ref="AJ234:AJ236"/>
    <mergeCell ref="AK234:AK236"/>
    <mergeCell ref="A234:E234"/>
    <mergeCell ref="I234:K234"/>
    <mergeCell ref="M234:N234"/>
    <mergeCell ref="I235:K236"/>
    <mergeCell ref="L235:N236"/>
    <mergeCell ref="A223:B223"/>
    <mergeCell ref="A224:B224"/>
    <mergeCell ref="G232:N232"/>
    <mergeCell ref="P232:Y232"/>
    <mergeCell ref="AB232:AD232"/>
    <mergeCell ref="AF232:AL232"/>
    <mergeCell ref="A233:E233"/>
    <mergeCell ref="K181:L181"/>
    <mergeCell ref="K182:L182"/>
    <mergeCell ref="K175:L175"/>
    <mergeCell ref="K176:L176"/>
    <mergeCell ref="H177:H184"/>
    <mergeCell ref="I177:I182"/>
    <mergeCell ref="K177:L177"/>
    <mergeCell ref="K178:L178"/>
    <mergeCell ref="F179:F182"/>
    <mergeCell ref="K183:L183"/>
    <mergeCell ref="K184:L184"/>
    <mergeCell ref="A189:E189"/>
    <mergeCell ref="A190:E190"/>
    <mergeCell ref="A192:E192"/>
    <mergeCell ref="A200:E200"/>
    <mergeCell ref="A211:C211"/>
    <mergeCell ref="A212:A213"/>
    <mergeCell ref="A214:A216"/>
    <mergeCell ref="D214:E216"/>
    <mergeCell ref="A217:A219"/>
    <mergeCell ref="D217:E219"/>
    <mergeCell ref="A220:A222"/>
    <mergeCell ref="D220:E222"/>
    <mergeCell ref="AF233:AF236"/>
    <mergeCell ref="AG233:AG236"/>
    <mergeCell ref="W233:W235"/>
    <mergeCell ref="X233:X235"/>
    <mergeCell ref="Y233:Y235"/>
    <mergeCell ref="Z233:Z235"/>
    <mergeCell ref="AB233:AB235"/>
    <mergeCell ref="AC233:AC234"/>
    <mergeCell ref="AD233:AD234"/>
    <mergeCell ref="P233:P236"/>
    <mergeCell ref="Q233:Q235"/>
    <mergeCell ref="R233:R235"/>
    <mergeCell ref="S233:S235"/>
    <mergeCell ref="T233:T235"/>
    <mergeCell ref="U233:U235"/>
    <mergeCell ref="V233:V235"/>
    <mergeCell ref="H234:H238"/>
    <mergeCell ref="A236:A237"/>
    <mergeCell ref="I237:J238"/>
    <mergeCell ref="K237:K238"/>
    <mergeCell ref="L237:M238"/>
    <mergeCell ref="N237:N238"/>
    <mergeCell ref="A238:A241"/>
    <mergeCell ref="D240:D241"/>
    <mergeCell ref="L244:M244"/>
    <mergeCell ref="L245:M245"/>
    <mergeCell ref="L246:M246"/>
    <mergeCell ref="L247:M247"/>
    <mergeCell ref="L248:M248"/>
    <mergeCell ref="L249:M249"/>
    <mergeCell ref="L250:M250"/>
    <mergeCell ref="L251:M251"/>
    <mergeCell ref="G234:G238"/>
    <mergeCell ref="E238:E239"/>
    <mergeCell ref="G239:G244"/>
    <mergeCell ref="E240:E241"/>
    <mergeCell ref="E242:E244"/>
    <mergeCell ref="I244:J244"/>
    <mergeCell ref="I245:J245"/>
    <mergeCell ref="E245:E247"/>
    <mergeCell ref="E252:E253"/>
    <mergeCell ref="G253:N253"/>
    <mergeCell ref="G254:N254"/>
    <mergeCell ref="I246:J246"/>
    <mergeCell ref="I247:J247"/>
    <mergeCell ref="I248:J248"/>
    <mergeCell ref="I249:J249"/>
    <mergeCell ref="I250:J250"/>
    <mergeCell ref="I251:J251"/>
    <mergeCell ref="G252:N252"/>
    <mergeCell ref="B240:B241"/>
    <mergeCell ref="C240:C241"/>
    <mergeCell ref="A242:A244"/>
    <mergeCell ref="A245:A247"/>
    <mergeCell ref="G245:G251"/>
    <mergeCell ref="A248:E248"/>
    <mergeCell ref="A252:A255"/>
  </mergeCells>
  <conditionalFormatting sqref="E310">
    <cfRule type="cellIs" dxfId="0" priority="1" operator="equal">
      <formula>"yes"</formula>
    </cfRule>
  </conditionalFormatting>
  <conditionalFormatting sqref="E310">
    <cfRule type="cellIs" dxfId="1" priority="2" operator="equal">
      <formula>"no"</formula>
    </cfRule>
  </conditionalFormatting>
  <conditionalFormatting sqref="C186">
    <cfRule type="cellIs" dxfId="0" priority="3" operator="equal">
      <formula>"Yes"</formula>
    </cfRule>
  </conditionalFormatting>
  <conditionalFormatting sqref="C186">
    <cfRule type="cellIs" dxfId="1" priority="4" operator="equal">
      <formula>"No"</formula>
    </cfRule>
  </conditionalFormatting>
  <conditionalFormatting sqref="C269">
    <cfRule type="cellIs" dxfId="0" priority="5" operator="equal">
      <formula>"Yes"</formula>
    </cfRule>
  </conditionalFormatting>
  <conditionalFormatting sqref="C269">
    <cfRule type="cellIs" dxfId="1" priority="6" operator="equal">
      <formula>"No"</formula>
    </cfRule>
  </conditionalFormatting>
  <conditionalFormatting sqref="C310">
    <cfRule type="cellIs" dxfId="0" priority="7" operator="equal">
      <formula>"Yes"</formula>
    </cfRule>
  </conditionalFormatting>
  <conditionalFormatting sqref="C310">
    <cfRule type="cellIs" dxfId="1" priority="8" operator="equal">
      <formula>"No"</formula>
    </cfRule>
  </conditionalFormatting>
  <dataValidations>
    <dataValidation type="list" allowBlank="1" showErrorMessage="1" sqref="C20:C21">
      <formula1>'Sheet 1'!$R$50:$R$63</formula1>
    </dataValidation>
    <dataValidation type="list" allowBlank="1" showErrorMessage="1" sqref="C157">
      <formula1>'Sheet 1'!$Y$49:$Y$52</formula1>
    </dataValidation>
    <dataValidation type="list" allowBlank="1" showErrorMessage="1" sqref="C158">
      <formula1>'Sheet 1'!$Z$49:$Z$52</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2023-01-30T15:11:11Z</dcterms:created>
</cp:coreProperties>
</file>